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HmOueHodqXIDWhmzma+YejjYukiNOfHSomnkv1J/3l9mou+ibavtuN4E+RdP+b2z1Z3ehGhO8k0orNZkV+YHog==" workbookSaltValue="lulrcIYtTPbUwDF08+IR2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BM9" i="11"/>
  <c r="BH12" i="16"/>
  <c r="BK22" i="11"/>
  <c r="T14" i="20"/>
  <c r="BF25" i="8"/>
  <c r="AY14" i="8"/>
  <c r="BD9" i="8"/>
  <c r="L28" i="2"/>
  <c r="X21" i="20"/>
  <c r="C30" i="7"/>
  <c r="S16" i="17"/>
  <c r="L12" i="2"/>
  <c r="L13" i="2"/>
  <c r="AO14" i="21"/>
  <c r="U9" i="17"/>
  <c r="U31" i="17" s="1"/>
  <c r="AP14" i="16"/>
  <c r="X13" i="16"/>
  <c r="BG16" i="13"/>
  <c r="BE16" i="13"/>
  <c r="X32" i="20"/>
  <c r="G30" i="14"/>
  <c r="G23" i="14"/>
  <c r="AK31" i="8" l="1"/>
  <c r="I12" i="3"/>
  <c r="E12" i="3"/>
  <c r="AP17" i="20"/>
  <c r="BG25" i="11"/>
  <c r="BF18" i="11"/>
  <c r="AZ19" i="11"/>
  <c r="BK21" i="11"/>
  <c r="V13" i="11"/>
  <c r="AP22" i="20"/>
  <c r="BL25" i="11"/>
  <c r="BM20" i="11"/>
  <c r="BU28" i="17"/>
  <c r="BW9" i="20"/>
  <c r="BV17" i="16"/>
  <c r="BV25" i="16"/>
  <c r="BU18" i="17"/>
  <c r="BV20" i="16"/>
  <c r="AZ22" i="11"/>
  <c r="R28" i="14"/>
  <c r="X16" i="17"/>
  <c r="T17" i="11"/>
  <c r="P16" i="17"/>
  <c r="BF12" i="11"/>
  <c r="BH25" i="16"/>
  <c r="BK20" i="11"/>
  <c r="BJ10" i="11"/>
  <c r="BK17" i="11"/>
  <c r="Q16" i="17"/>
  <c r="BM18" i="11"/>
  <c r="BF16" i="11"/>
  <c r="BH17" i="11"/>
  <c r="BL22" i="11"/>
  <c r="AQ12" i="21"/>
  <c r="BI22" i="11"/>
  <c r="BH25" i="11"/>
  <c r="BK10" i="11"/>
  <c r="BI21" i="11"/>
  <c r="L22" i="2"/>
  <c r="L29" i="2"/>
  <c r="L16" i="2"/>
  <c r="L17" i="2"/>
  <c r="L18" i="2"/>
  <c r="L20" i="2"/>
  <c r="L21" i="2"/>
  <c r="V9" i="16"/>
  <c r="V16" i="11"/>
  <c r="Q18" i="20"/>
  <c r="Q23" i="20" s="1"/>
  <c r="BG22" i="11"/>
  <c r="BI25" i="11"/>
  <c r="BI19" i="11"/>
  <c r="AZ13" i="11"/>
  <c r="AZ9" i="11"/>
  <c r="AZ14" i="11" s="1"/>
  <c r="BJ28" i="11"/>
  <c r="BU11" i="17"/>
  <c r="BU21" i="17"/>
  <c r="BW17" i="20"/>
  <c r="BW16" i="20"/>
  <c r="BV10" i="16"/>
  <c r="S11" i="17"/>
  <c r="AA20" i="16"/>
  <c r="AZ17" i="11"/>
  <c r="BF20" i="11"/>
  <c r="S16" i="16"/>
  <c r="BL20" i="11"/>
  <c r="BL16" i="11"/>
  <c r="BH21" i="11"/>
  <c r="AZ25" i="11"/>
  <c r="AZ30" i="11" s="1"/>
  <c r="BH10" i="16"/>
  <c r="BI29" i="11"/>
  <c r="BH11" i="11"/>
  <c r="BG17" i="11"/>
  <c r="S18" i="17"/>
  <c r="AA9" i="16"/>
  <c r="AA11" i="16"/>
  <c r="U10" i="17"/>
  <c r="X19" i="16"/>
  <c r="V25" i="16"/>
  <c r="L9" i="2"/>
  <c r="L19" i="2"/>
  <c r="X10" i="21"/>
  <c r="L25" i="2"/>
  <c r="S17" i="17"/>
  <c r="L10" i="2"/>
  <c r="BH22" i="11"/>
  <c r="BL17" i="11"/>
  <c r="BJ17" i="11"/>
  <c r="AO25" i="17"/>
  <c r="BM21" i="11"/>
  <c r="R13" i="17"/>
  <c r="AS14" i="8"/>
  <c r="AS31" i="8" s="1"/>
  <c r="H13" i="10"/>
  <c r="BF17" i="8"/>
  <c r="BD12" i="8"/>
  <c r="H12" i="7" s="1"/>
  <c r="B16" i="6"/>
  <c r="S10" i="17"/>
  <c r="BL10" i="11"/>
  <c r="AO29" i="17"/>
  <c r="BL28" i="11"/>
  <c r="AQ10" i="21"/>
  <c r="BI9" i="11"/>
  <c r="BH10" i="11"/>
  <c r="BI20" i="11"/>
  <c r="Q18" i="17"/>
  <c r="BG12" i="11"/>
  <c r="AZ11" i="11"/>
  <c r="S11" i="14"/>
  <c r="V11" i="14" s="1"/>
  <c r="AZ12" i="11"/>
  <c r="AZ20" i="11"/>
  <c r="AA18" i="16"/>
  <c r="S25" i="17"/>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AZ31" i="11" l="1"/>
  <c r="P25"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<sst xmlns="http://schemas.openxmlformats.org/spreadsheetml/2006/main" count="2682" uniqueCount="1193">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</sst>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OtlMGKePfDTzb96fnoGAui0fwB6szscs/NswiYWpbuuIVdyoH7x9qa76c988fB3pgUlOpxL4DLihZIcODb7yw==" saltValue="0dlEQ/0CJNoEK0jdeqxg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16.238095238095241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253</v>
      </c>
      <c r="D17" s="239">
        <f>IF(ISNUMBER(IF(D_I="SI",Datos!I17,Datos!I17+Datos!AC17)),IF(D_I="SI",Datos!I17,Datos!I17+Datos!AC17)," - ")</f>
        <v>253</v>
      </c>
      <c r="E17" s="240">
        <f>IF(ISNUMBER(IF(D_I="SI",Datos!J17,Datos!J17+Datos!AD17)),IF(D_I="SI",Datos!J17,Datos!J17+Datos!AD17)," - ")</f>
        <v>553</v>
      </c>
      <c r="F17" s="240">
        <f>IF(ISNUMBER(IF(D_I="SI",Datos!K17,Datos!K17+Datos!AE17)),IF(D_I="SI",Datos!K17,Datos!K17+Datos!AE17)," - ")</f>
        <v>448</v>
      </c>
      <c r="G17" s="1390" t="str">
        <f>IF(Datos!E17&lt;&gt;"",Datos!E17,Datos!D17)</f>
        <v>04</v>
      </c>
      <c r="H17" s="241">
        <f>IF(ISNUMBER(IF(D_I="SI",Datos!L17,Datos!L17+Datos!AF17)),IF(D_I="SI",Datos!L17,Datos!L17+Datos!AF17)," - ")</f>
        <v>358</v>
      </c>
      <c r="I17" s="1400" t="str">
        <f>IF(ISNUMBER(Datos!AS17/Datos!BM17),Datos!AS17/Datos!BM17," - ")</f>
        <v xml:space="preserve"> - </v>
      </c>
      <c r="J17" s="1401">
        <f>IF(ISNUMBER(Datos!BY17/Datos!CN17),Datos!BY17/Datos!CN17," - ")</f>
        <v>0</v>
      </c>
      <c r="K17" s="244">
        <f t="shared" si="3"/>
        <v>0.41501976284584979</v>
      </c>
      <c r="L17" s="1402">
        <f>IF(ISNUMBER(NºAsuntos!I17/NºAsuntos!G17),(NºAsuntos!I17/NºAsuntos!G17)*11," - ")</f>
        <v>8.7901785714285712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17</v>
      </c>
      <c r="F18" s="240">
        <f>IF(ISNUMBER(IF(D_I="SI",Datos!K18,Datos!K18+Datos!AE18)),IF(D_I="SI",Datos!K18,Datos!K18+Datos!AE18)," - ")</f>
        <v>15</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0.10526315789473684</v>
      </c>
      <c r="L18" s="1402">
        <f>IF(ISNUMBER(NºAsuntos!I18/NºAsuntos!G18),(NºAsuntos!I18/NºAsuntos!G18)*11," - ")</f>
        <v>15.399999999999999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272</v>
      </c>
      <c r="D23" s="1407">
        <f>SUBTOTAL(9,D16:D22)</f>
        <v>272</v>
      </c>
      <c r="E23" s="1408">
        <f>SUBTOTAL(9,E16:E22)</f>
        <v>570</v>
      </c>
      <c r="F23" s="1408">
        <f>SUBTOTAL(9,F16:F22)</f>
        <v>463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274</v>
      </c>
      <c r="D31" s="1435">
        <f>SUBTOTAL(9,D9:D30)</f>
        <v>274</v>
      </c>
      <c r="E31" s="1436">
        <f>SUBTOTAL(9,E9:E30)</f>
        <v>573</v>
      </c>
      <c r="F31" s="1436">
        <f>SUBTOTAL(9,F9:F30)</f>
        <v>464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frx82fijt1Uz4giygnV2IflGFMH+Fp7V/EOOPuxKHxnXzn8z6kZrFKqKUTajh20pjEIgQG9cRZsocyp6Aaixdw==" saltValue="kqnoiUDMyW2jBq8CbCP58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gL5CXMql28SQ933EPB6VF+x4L/LeveLnk4N/x/TPp6Ur8YQAqv6nd33nniHFX4PdCJ5JCDyiyfEeRahaTgrrQ==" saltValue="GpD32IP5+ZT4pVjnWI4F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1</v>
      </c>
      <c r="L10" s="194">
        <v>4</v>
      </c>
      <c r="M10" s="194">
        <v>1</v>
      </c>
      <c r="N10" s="194">
        <v>0</v>
      </c>
      <c r="O10" s="194">
        <v>0</v>
      </c>
      <c r="P10" s="194">
        <v>0</v>
      </c>
      <c r="Q10" s="194">
        <v>0</v>
      </c>
      <c r="R10" s="194">
        <v>2</v>
      </c>
      <c r="S10" s="194">
        <v>2</v>
      </c>
      <c r="T10" s="194">
        <v>7</v>
      </c>
      <c r="U10" s="194">
        <v>7</v>
      </c>
      <c r="V10" s="194">
        <v>2</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7</v>
      </c>
      <c r="BA10" s="139">
        <f t="shared" si="0"/>
        <v>7</v>
      </c>
      <c r="BB10" s="139">
        <f t="shared" si="0"/>
        <v>2</v>
      </c>
      <c r="BC10" s="135">
        <f t="shared" si="0"/>
        <v>4</v>
      </c>
      <c r="BD10" s="136">
        <f>IF(ISNUMBER(BA10/AZ10),BA10/AZ10," - ")</f>
        <v>1</v>
      </c>
      <c r="BE10" s="137">
        <f>IF(ISNUMBER(BB10/BA10),BB10/BA10, " - ")</f>
        <v>0.2857142857142857</v>
      </c>
      <c r="BF10" s="137">
        <f>IF(ISNUMBER(BC10/BA10),BC10/BA10, " - ")</f>
        <v>0.5714285714285714</v>
      </c>
      <c r="BG10" s="209">
        <f>IF(ISNUMBER((AY10+AZ10)/BA10),(AY10+AZ10)/BA10," - ")</f>
        <v>1.2857142857142858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271</v>
      </c>
      <c r="J12" s="196">
        <v>573</v>
      </c>
      <c r="K12" s="196">
        <v>339</v>
      </c>
      <c r="L12" s="196">
        <v>513</v>
      </c>
      <c r="M12" s="196">
        <v>59</v>
      </c>
      <c r="N12" s="196">
        <v>21</v>
      </c>
      <c r="O12" s="194">
        <v>5</v>
      </c>
      <c r="P12" s="196">
        <v>117</v>
      </c>
      <c r="Q12" s="196">
        <v>70</v>
      </c>
      <c r="R12" s="196">
        <v>545</v>
      </c>
      <c r="S12" s="196">
        <v>270</v>
      </c>
      <c r="T12" s="196">
        <v>439</v>
      </c>
      <c r="U12" s="196">
        <v>437</v>
      </c>
      <c r="V12" s="196">
        <v>271</v>
      </c>
      <c r="W12" s="196">
        <v>142</v>
      </c>
      <c r="X12" s="202">
        <v>215</v>
      </c>
      <c r="Y12" s="204">
        <v>11</v>
      </c>
      <c r="Z12" s="194">
        <v>29</v>
      </c>
      <c r="AA12" s="194">
        <v>18</v>
      </c>
      <c r="AB12" s="194">
        <v>14</v>
      </c>
      <c r="AC12" s="196">
        <v>0</v>
      </c>
      <c r="AD12" s="196">
        <v>0</v>
      </c>
      <c r="AE12" s="196">
        <v>0</v>
      </c>
      <c r="AF12" s="202">
        <v>0</v>
      </c>
      <c r="AG12" s="215">
        <v>89</v>
      </c>
      <c r="AH12" s="196">
        <v>68</v>
      </c>
      <c r="AI12" s="196">
        <v>67</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359</v>
      </c>
      <c r="AZ12" s="137">
        <f t="shared" si="1"/>
        <v>507</v>
      </c>
      <c r="BA12" s="137">
        <f t="shared" si="1"/>
        <v>504</v>
      </c>
      <c r="BB12" s="137">
        <f t="shared" si="1"/>
        <v>282</v>
      </c>
      <c r="BC12" s="135">
        <f>IF(ISNUMBER(X12),X12," - ")</f>
        <v>215</v>
      </c>
      <c r="BD12" s="136">
        <f t="shared" si="2"/>
        <v>0.99408284023668636</v>
      </c>
      <c r="BE12" s="137">
        <f t="shared" si="3"/>
        <v>0.55952380952380953</v>
      </c>
      <c r="BF12" s="137">
        <f t="shared" si="4"/>
        <v>0.42658730158730157</v>
      </c>
      <c r="BG12" s="209">
        <f t="shared" si="5"/>
        <v>1.7182539682539681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273</v>
      </c>
      <c r="J14" s="197">
        <f t="shared" si="7"/>
        <v>576</v>
      </c>
      <c r="K14" s="197">
        <f t="shared" si="7"/>
        <v>340</v>
      </c>
      <c r="L14" s="197">
        <f t="shared" si="7"/>
        <v>517</v>
      </c>
      <c r="M14" s="197">
        <f t="shared" si="7"/>
        <v>60</v>
      </c>
      <c r="N14" s="197">
        <f t="shared" si="7"/>
        <v>21</v>
      </c>
      <c r="O14" s="197">
        <f t="shared" si="7"/>
        <v>5</v>
      </c>
      <c r="P14" s="197">
        <f t="shared" si="7"/>
        <v>117</v>
      </c>
      <c r="Q14" s="197">
        <f t="shared" si="7"/>
        <v>70</v>
      </c>
      <c r="R14" s="197">
        <f t="shared" si="7"/>
        <v>547</v>
      </c>
      <c r="S14" s="197">
        <f t="shared" si="7"/>
        <v>272</v>
      </c>
      <c r="T14" s="197">
        <f t="shared" si="7"/>
        <v>446</v>
      </c>
      <c r="U14" s="197">
        <f t="shared" si="7"/>
        <v>444</v>
      </c>
      <c r="V14" s="197">
        <f t="shared" si="7"/>
        <v>273</v>
      </c>
      <c r="W14" s="197">
        <f t="shared" si="7"/>
        <v>146</v>
      </c>
      <c r="X14" s="197">
        <f t="shared" si="7"/>
        <v>216</v>
      </c>
      <c r="Y14" s="197">
        <f t="shared" si="7"/>
        <v>11</v>
      </c>
      <c r="Z14" s="197">
        <f t="shared" si="7"/>
        <v>29</v>
      </c>
      <c r="AA14" s="197">
        <f t="shared" si="7"/>
        <v>18</v>
      </c>
      <c r="AB14" s="197">
        <f t="shared" si="7"/>
        <v>14</v>
      </c>
      <c r="AC14" s="197">
        <f t="shared" si="7"/>
        <v>0</v>
      </c>
      <c r="AD14" s="197">
        <f t="shared" si="7"/>
        <v>0</v>
      </c>
      <c r="AE14" s="197">
        <f t="shared" si="7"/>
        <v>0</v>
      </c>
      <c r="AF14" s="197">
        <f>SUBTOTAL(9,AF9:AF13)</f>
        <v>0</v>
      </c>
      <c r="AG14" s="197">
        <f t="shared" ref="AG14:AT14" si="8">SUBTOTAL(9,AG8:AG13)</f>
        <v>89</v>
      </c>
      <c r="AH14" s="197">
        <f t="shared" si="8"/>
        <v>68</v>
      </c>
      <c r="AI14" s="197">
        <f t="shared" si="8"/>
        <v>67</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361</v>
      </c>
      <c r="AZ14" s="197">
        <f>SUBTOTAL(9,AZ8:AZ13)</f>
        <v>514</v>
      </c>
      <c r="BA14" s="197">
        <f>SUBTOTAL(9,BA8:BA13)</f>
        <v>511</v>
      </c>
      <c r="BB14" s="197">
        <f>SUBTOTAL(9,BB8:BB13)</f>
        <v>284</v>
      </c>
      <c r="BC14" s="197">
        <f>SUBTOTAL(9,BC8:BC13)</f>
        <v>219</v>
      </c>
      <c r="BD14" s="219">
        <f>IF(ISNUMBER(BA14/AZ14),BA14/AZ14," - ")</f>
        <v>0.99416342412451364</v>
      </c>
      <c r="BE14" s="220">
        <f>IF(ISNUMBER(BB14/BA14),BB14/BA14, " - ")</f>
        <v>0.55577299412915848</v>
      </c>
      <c r="BF14" s="220">
        <f>IF(ISNUMBER(BC14/BA14),BC14/BA14, " - ")</f>
        <v>0.42857142857142855</v>
      </c>
      <c r="BG14" s="221">
        <f>IF(ISNUMBER((AY14+AZ14)/BA14),(AY14+AZ14)/BA14," - ")</f>
        <v>1.7123287671232876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253</v>
      </c>
      <c r="J17" s="196">
        <v>553</v>
      </c>
      <c r="K17" s="196">
        <v>448</v>
      </c>
      <c r="L17" s="196">
        <v>358</v>
      </c>
      <c r="M17" s="196">
        <v>66</v>
      </c>
      <c r="N17" s="196">
        <v>255</v>
      </c>
      <c r="O17" s="194">
        <v>0</v>
      </c>
      <c r="P17" s="196">
        <v>18</v>
      </c>
      <c r="Q17" s="196">
        <v>24</v>
      </c>
      <c r="R17" s="196">
        <v>22</v>
      </c>
      <c r="S17" s="196">
        <v>390</v>
      </c>
      <c r="T17" s="196">
        <v>533</v>
      </c>
      <c r="U17" s="196">
        <v>616</v>
      </c>
      <c r="V17" s="196">
        <v>253</v>
      </c>
      <c r="W17" s="196">
        <v>78</v>
      </c>
      <c r="X17" s="202">
        <v>448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390</v>
      </c>
      <c r="AZ17" s="137">
        <f t="shared" si="10"/>
        <v>533</v>
      </c>
      <c r="BA17" s="137">
        <f t="shared" si="10"/>
        <v>616</v>
      </c>
      <c r="BB17" s="137">
        <f t="shared" si="10"/>
        <v>253</v>
      </c>
      <c r="BC17" s="135">
        <f>IF(ISNUMBER(W17),W17," - ")</f>
        <v>78</v>
      </c>
      <c r="BD17" s="136">
        <f t="shared" ref="BD17:BD22" si="12">IF(ISNUMBER(BA17/AZ17),BA17/AZ17," - ")</f>
        <v>1.1557223264540337</v>
      </c>
      <c r="BE17" s="137">
        <f t="shared" ref="BE17:BE22" si="13">IF(ISNUMBER(BB17/BA17),BB17/BA17, " - ")</f>
        <v>0.4107142857142857</v>
      </c>
      <c r="BF17" s="137">
        <f t="shared" ref="BF17:BF22" si="14">IF(ISNUMBER(BC17/BA17),BC17/BA17, " - ")</f>
        <v>0.12662337662337661</v>
      </c>
      <c r="BG17" s="209">
        <f t="shared" si="11"/>
        <v>1.4983766233766234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17</v>
      </c>
      <c r="K18" s="196">
        <v>15</v>
      </c>
      <c r="L18" s="196">
        <v>21</v>
      </c>
      <c r="M18" s="196">
        <v>2</v>
      </c>
      <c r="N18" s="196">
        <v>13</v>
      </c>
      <c r="O18" s="196">
        <v>0</v>
      </c>
      <c r="P18" s="196">
        <v>0</v>
      </c>
      <c r="Q18" s="196">
        <v>0</v>
      </c>
      <c r="R18" s="196">
        <v>0</v>
      </c>
      <c r="S18" s="196">
        <v>10</v>
      </c>
      <c r="T18" s="196">
        <v>26</v>
      </c>
      <c r="U18" s="196">
        <v>19</v>
      </c>
      <c r="V18" s="196">
        <v>19</v>
      </c>
      <c r="W18" s="196">
        <v>1</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26</v>
      </c>
      <c r="BA18" s="139">
        <f t="shared" si="15"/>
        <v>19</v>
      </c>
      <c r="BB18" s="139">
        <f t="shared" si="15"/>
        <v>19</v>
      </c>
      <c r="BC18" s="135">
        <f>IF(ISNUMBER(W18),W18," - ")</f>
        <v>1</v>
      </c>
      <c r="BD18" s="136">
        <f>IF(ISNUMBER(BA18/AZ18),BA18/AZ18," - ")</f>
        <v>0.73076923076923073</v>
      </c>
      <c r="BE18" s="137">
        <f>IF(ISNUMBER(BB18/BA18),BB18/BA18, " - ")</f>
        <v>1</v>
      </c>
      <c r="BF18" s="137">
        <f>IF(ISNUMBER(BC18/BA18),BC18/BA18, " - ")</f>
        <v>5.2631578947368418E-2</v>
      </c>
      <c r="BG18" s="209">
        <f>IF(ISNUMBER((AY18+AZ18)/BA18),(AY18+AZ18)/BA18," - ")</f>
        <v>1.8947368421052631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272</v>
      </c>
      <c r="J23" s="197">
        <f t="shared" si="21"/>
        <v>570</v>
      </c>
      <c r="K23" s="197">
        <f t="shared" si="21"/>
        <v>463</v>
      </c>
      <c r="L23" s="197">
        <f t="shared" si="21"/>
        <v>379</v>
      </c>
      <c r="M23" s="197">
        <f t="shared" si="21"/>
        <v>68</v>
      </c>
      <c r="N23" s="197">
        <f t="shared" si="21"/>
        <v>268</v>
      </c>
      <c r="O23" s="197">
        <f t="shared" si="21"/>
        <v>0</v>
      </c>
      <c r="P23" s="197">
        <f t="shared" si="21"/>
        <v>18</v>
      </c>
      <c r="Q23" s="197">
        <f t="shared" si="21"/>
        <v>24</v>
      </c>
      <c r="R23" s="197">
        <f t="shared" si="21"/>
        <v>22</v>
      </c>
      <c r="S23" s="197">
        <f t="shared" si="21"/>
        <v>400</v>
      </c>
      <c r="T23" s="197">
        <f t="shared" si="21"/>
        <v>559</v>
      </c>
      <c r="U23" s="197">
        <f t="shared" si="21"/>
        <v>635</v>
      </c>
      <c r="V23" s="197">
        <f t="shared" si="21"/>
        <v>272</v>
      </c>
      <c r="W23" s="197">
        <f t="shared" si="21"/>
        <v>79</v>
      </c>
      <c r="X23" s="197">
        <f t="shared" si="21"/>
        <v>465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400</v>
      </c>
      <c r="AZ23" s="197">
        <f>SUBTOTAL(9,AZ15:AZ22)</f>
        <v>559</v>
      </c>
      <c r="BA23" s="197">
        <f>SUBTOTAL(9,BA15:BA22)</f>
        <v>635</v>
      </c>
      <c r="BB23" s="197">
        <f>SUBTOTAL(9,BB15:BB22)</f>
        <v>272</v>
      </c>
      <c r="BC23" s="197">
        <f>SUBTOTAL(9,BC15:BC22)</f>
        <v>79</v>
      </c>
      <c r="BD23" s="219">
        <f>IF(ISNUMBER(BA23/AZ23),BA23/AZ23," - ")</f>
        <v>1.1359570661896243</v>
      </c>
      <c r="BE23" s="220">
        <f>IF(ISNUMBER(BB23/BA23),BB23/BA23, " - ")</f>
        <v>0.42834645669291338</v>
      </c>
      <c r="BF23" s="220">
        <f>IF(ISNUMBER(BC23/BA23),BC23/BA23, " - ")</f>
        <v>0.12440944881889764</v>
      </c>
      <c r="BG23" s="221">
        <f>IF(ISNUMBER((AY23+AZ23)/BA23),(AY23+AZ23)/BA23," - ")</f>
        <v>1.5102362204724409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545</v>
      </c>
      <c r="J31" s="144">
        <f t="shared" si="36"/>
        <v>1146</v>
      </c>
      <c r="K31" s="144">
        <f t="shared" si="36"/>
        <v>803</v>
      </c>
      <c r="L31" s="144">
        <f t="shared" si="36"/>
        <v>896</v>
      </c>
      <c r="M31" s="144">
        <f t="shared" si="36"/>
        <v>128</v>
      </c>
      <c r="N31" s="144">
        <f t="shared" si="36"/>
        <v>289</v>
      </c>
      <c r="O31" s="144">
        <f t="shared" si="36"/>
        <v>5</v>
      </c>
      <c r="P31" s="144">
        <f t="shared" si="36"/>
        <v>135</v>
      </c>
      <c r="Q31" s="144">
        <f t="shared" si="36"/>
        <v>94</v>
      </c>
      <c r="R31" s="144">
        <f t="shared" si="36"/>
        <v>569</v>
      </c>
      <c r="S31" s="144">
        <f t="shared" si="36"/>
        <v>672</v>
      </c>
      <c r="T31" s="144">
        <f t="shared" si="36"/>
        <v>1005</v>
      </c>
      <c r="U31" s="144">
        <f t="shared" si="36"/>
        <v>1079</v>
      </c>
      <c r="V31" s="144">
        <f t="shared" si="36"/>
        <v>545</v>
      </c>
      <c r="W31" s="144">
        <f t="shared" si="36"/>
        <v>225</v>
      </c>
      <c r="X31" s="144">
        <f t="shared" si="36"/>
        <v>681</v>
      </c>
      <c r="Y31" s="144">
        <f t="shared" si="36"/>
        <v>11</v>
      </c>
      <c r="Z31" s="144">
        <f t="shared" si="36"/>
        <v>29</v>
      </c>
      <c r="AA31" s="144">
        <f t="shared" si="36"/>
        <v>18</v>
      </c>
      <c r="AB31" s="144">
        <f t="shared" si="36"/>
        <v>14</v>
      </c>
      <c r="AC31" s="144">
        <f t="shared" si="36"/>
        <v>0</v>
      </c>
      <c r="AD31" s="144">
        <f t="shared" si="36"/>
        <v>0</v>
      </c>
      <c r="AE31" s="144">
        <f t="shared" si="36"/>
        <v>0</v>
      </c>
      <c r="AF31" s="144">
        <f t="shared" si="36"/>
        <v>0</v>
      </c>
      <c r="AG31" s="144">
        <f t="shared" si="36"/>
        <v>89</v>
      </c>
      <c r="AH31" s="144">
        <f t="shared" si="36"/>
        <v>68</v>
      </c>
      <c r="AI31" s="144">
        <f t="shared" si="36"/>
        <v>67</v>
      </c>
      <c r="AJ31" s="144">
        <f t="shared" si="36"/>
        <v>11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761</v>
      </c>
      <c r="AZ31" s="144">
        <f>SUBTOTAL(9,AZ9:AZ30)</f>
        <v>1073</v>
      </c>
      <c r="BA31" s="144">
        <f>SUBTOTAL(9,BA9:BA30)</f>
        <v>1146</v>
      </c>
      <c r="BB31" s="144">
        <f>SUBTOTAL(9,BB9:BB30)</f>
        <v>556</v>
      </c>
      <c r="BC31" s="145">
        <f>SUBTOTAL(9,BC9:BC30)</f>
        <v>298</v>
      </c>
      <c r="BD31" s="227">
        <f>IF(ISNUMBER(BA31/AZ31),BA31/AZ31," - ")</f>
        <v>1.0680335507921714</v>
      </c>
      <c r="BE31" s="224">
        <f>IF(ISNUMBER(BB31/BA31),BB31/BA31, " - ")</f>
        <v>0.4851657940663176</v>
      </c>
      <c r="BF31" s="224">
        <f>IF(ISNUMBER(BC31/BA31),BC31/BA31, " - ")</f>
        <v>0.26003490401396162</v>
      </c>
      <c r="BG31" s="145">
        <f>IF(ISNUMBER((AY31+AZ31)/BA31),(AY31+AZ31)/BA31," - ")</f>
        <v>1.6003490401396161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S9vAEF0TIH3TywHkpHJyz08R+w+zRtAsvwp+8ULzMD44DbOHEjrecHr5UVK1c8KchgLbwlk4R71hEjVpOV49g==" saltValue="vbtQ6DP/I5tUGpQ+yYRj6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TIgvym9NYgJv7gBBJN1kXgguEvFzekQQ4Wmp+i46SdyGtrarwvo8UlBurQstLD/lUKChDA02fpkAHyk+gKmA==" saltValue="SlvkKgN9MsnUvJS2xj+K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117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545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0.59302325581395354</v>
      </c>
      <c r="BH12" s="764">
        <f>IF(ISNUMBER(((IF(J_V="SI",Datos!L12/Datos!K12,(Datos!L12+Datos!AB12)/(Datos!K12+Datos!AA12)))*11)/factor_trimestre),((IF(J_V="SI",Datos!L12/Datos!K12,(Datos!L12+Datos!AB12)/(Datos!K12+Datos!AA12)))*11)/factor_trimestre," - ")</f>
        <v>16.238095238095241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9.4377510040160636E-2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117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70</v>
      </c>
      <c r="AD14" s="1198">
        <f t="shared" si="2"/>
        <v>0</v>
      </c>
      <c r="AE14" s="1198">
        <f t="shared" si="2"/>
        <v>0</v>
      </c>
      <c r="AF14" s="1198">
        <f t="shared" si="2"/>
        <v>4</v>
      </c>
      <c r="AG14" s="1198">
        <f t="shared" si="2"/>
        <v>0</v>
      </c>
      <c r="AH14" s="1198">
        <f t="shared" si="2"/>
        <v>14</v>
      </c>
      <c r="AI14" s="1198">
        <f t="shared" si="2"/>
        <v>0</v>
      </c>
      <c r="AJ14" s="1198">
        <f t="shared" si="2"/>
        <v>0</v>
      </c>
      <c r="AK14" s="1198">
        <f t="shared" si="2"/>
        <v>0</v>
      </c>
      <c r="AL14" s="1198">
        <f t="shared" si="2"/>
        <v>0</v>
      </c>
      <c r="AM14" s="1198">
        <f t="shared" si="2"/>
        <v>547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21</v>
      </c>
      <c r="BE14" s="1198">
        <f t="shared" si="2"/>
        <v>0</v>
      </c>
      <c r="BF14" s="1198">
        <f t="shared" si="2"/>
        <v>0</v>
      </c>
      <c r="BG14" s="1198">
        <f>IF(ISNUMBER(Datos!K14/Datos!J14),Datos!K14/Datos!J14," - ")</f>
        <v>0.59027777777777779</v>
      </c>
      <c r="BH14" s="1202">
        <f>IF(ISNUMBER(((Datos!L14/Datos!K14)*11)/factor_trimestre),((Datos!L14/Datos!K14)*11)/factor_trimestre," - ")</f>
        <v>16.726470588235294</v>
      </c>
      <c r="BI14" s="1198">
        <f>IF(ISNUMBER('Resol  Asuntos'!D14/NºAsuntos!G14),'Resol  Asuntos'!D14/NºAsuntos!G14," - ")</f>
        <v>0.16759776536312848</v>
      </c>
      <c r="BJ14" s="1198" t="str">
        <f>IF(ISNUMBER(Datos!CI14/Datos!CJ14),Datos!CI14/Datos!CJ14," - ")</f>
        <v xml:space="preserve"> - </v>
      </c>
      <c r="BK14" s="1198">
        <f>SUBTOTAL(9,BK8:BK13)</f>
        <v>0</v>
      </c>
      <c r="BL14" s="1198">
        <f>IF(ISNUMBER((I14-AB14+L14)/(F14)),(I14-AB14+L14)/(F14)," - ")</f>
        <v>-0.5</v>
      </c>
      <c r="BM14" s="1203">
        <f>SUBTOTAL(9,BM9:BM13)</f>
        <v>9.4377510040160636E-2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253</v>
      </c>
      <c r="G17" s="743">
        <f>IF(ISNUMBER(IF(D_I="SI",Datos!I17,Datos!I17+Datos!AC17)),IF(D_I="SI",Datos!I17,Datos!I17+Datos!AC17)," - ")</f>
        <v>253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448</v>
      </c>
      <c r="AC17" s="240">
        <f>IF(ISNUMBER(Datos!Q17),Datos!Q17," - ")</f>
        <v>24</v>
      </c>
      <c r="AD17" s="374"/>
      <c r="AE17" s="562"/>
      <c r="AF17" s="741">
        <f>IF(ISNUMBER(IF(D_I="SI",Datos!L17,Datos!L17+Datos!AF17)),IF(D_I="SI",Datos!L17,Datos!L17+Datos!AF17)," - ")</f>
        <v>358</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255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0.810126582278481</v>
      </c>
      <c r="BH17" s="764">
        <f>IF(ISNUMBER(((IF(D_I="SI",Datos!L17/Datos!K17,(Datos!L17+Datos!AF17)/(Datos!K17+Datos!AE17)))*11)/factor_trimestre),((IF(D_I="SI",Datos!L17/Datos!K17,(Datos!L17+Datos!AF17)/(Datos!K17+Datos!AE17)))*11)/factor_trimestre," - ")</f>
        <v>8.7901785714285712</v>
      </c>
      <c r="BI17" s="266">
        <f>IF(ISNUMBER('Resol  Asuntos'!D17/NºAsuntos!G17),'Resol  Asuntos'!D17/NºAsuntos!G17," - ")</f>
        <v>0.14732142857142858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0.88235294117647056</v>
      </c>
      <c r="BH18" s="764">
        <f>IF(ISNUMBER(((IF(D_I="SI",Datos!L18/Datos!K18,(Datos!L18+Datos!AF18)/(Datos!K18+Datos!AE18)))*11)/factor_trimestre),((IF(D_I="SI",Datos!L18/Datos!K18,(Datos!L18+Datos!AF18)/(Datos!K18+Datos!AE18)))*11)/factor_trimestre," - ")</f>
        <v>15.399999999999999</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253</v>
      </c>
      <c r="G23" s="1197">
        <f>SUBTOTAL(9,G16:G22)</f>
        <v>272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463</v>
      </c>
      <c r="AC23" s="1198">
        <f t="shared" si="5"/>
        <v>24</v>
      </c>
      <c r="AD23" s="1198">
        <f t="shared" si="5"/>
        <v>0</v>
      </c>
      <c r="AE23" s="1198">
        <f t="shared" si="5"/>
        <v>0</v>
      </c>
      <c r="AF23" s="1198">
        <f t="shared" si="5"/>
        <v>379</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v>
      </c>
      <c r="BD23" s="1198">
        <f t="shared" si="5"/>
        <v>268</v>
      </c>
      <c r="BE23" s="1198">
        <f t="shared" si="5"/>
        <v>0</v>
      </c>
      <c r="BF23" s="1198">
        <f t="shared" si="5"/>
        <v>0</v>
      </c>
      <c r="BG23" s="1198">
        <f>IF(ISNUMBER(Datos!K23/Datos!J23),Datos!K23/Datos!J23," - ")</f>
        <v>0.81228070175438594</v>
      </c>
      <c r="BH23" s="1202">
        <f>IF(ISNUMBER(((Datos!L23/Datos!K23)*11)/factor_trimestre),((Datos!L23/Datos!K23)*11)/factor_trimestre," - ")</f>
        <v>9.0043196544276469</v>
      </c>
      <c r="BI23" s="1198">
        <f>SUBTOTAL(9,BI16:BI22)</f>
        <v>0.28065476190476191</v>
      </c>
      <c r="BJ23" s="1198">
        <f>SUBTOTAL(9,BJ16:BJ22)</f>
        <v>0</v>
      </c>
      <c r="BK23" s="1198">
        <f>SUBTOTAL(9,BK16:BK22)</f>
        <v>0</v>
      </c>
      <c r="BL23" s="1198">
        <f>IF(ISNUMBER((I23-AB23+L23)/(F23)),(I23-AB23+L23)/(F23)," - ")</f>
        <v>-1.8300395256916997</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255</v>
      </c>
      <c r="G31" s="1117">
        <f t="shared" si="18"/>
        <v>274</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135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464</v>
      </c>
      <c r="AC31" s="1118">
        <f t="shared" si="19"/>
        <v>94</v>
      </c>
      <c r="AD31" s="1118">
        <f t="shared" si="19"/>
        <v>0</v>
      </c>
      <c r="AE31" s="1118">
        <f t="shared" si="19"/>
        <v>0</v>
      </c>
      <c r="AF31" s="1125">
        <f t="shared" si="19"/>
        <v>383</v>
      </c>
      <c r="AG31" s="1125">
        <f t="shared" si="19"/>
        <v>0</v>
      </c>
      <c r="AH31" s="1125">
        <f t="shared" si="19"/>
        <v>14</v>
      </c>
      <c r="AI31" s="1125">
        <f t="shared" si="19"/>
        <v>0</v>
      </c>
      <c r="AJ31" s="1118">
        <f t="shared" si="19"/>
        <v>0</v>
      </c>
      <c r="AK31" s="1125">
        <f t="shared" si="19"/>
        <v>0</v>
      </c>
      <c r="AL31" s="1125">
        <f t="shared" si="19"/>
        <v>0</v>
      </c>
      <c r="AM31" s="1125">
        <f t="shared" si="19"/>
        <v>569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128</v>
      </c>
      <c r="BD31" s="1117">
        <f t="shared" si="19"/>
        <v>289</v>
      </c>
      <c r="BE31" s="1117">
        <f t="shared" si="19"/>
        <v>0</v>
      </c>
      <c r="BF31" s="1127">
        <f t="shared" si="19"/>
        <v>0</v>
      </c>
      <c r="BG31" s="1223">
        <f>IF(ISNUMBER(Datos!K31/Datos!J31),Datos!K31/Datos!J31," - ")</f>
        <v>0.70069808027923208</v>
      </c>
      <c r="BH31" s="1223">
        <f>IF(ISNUMBER(((Datos!L31/Datos!K31)*11)/factor_trimestre),((Datos!L31/Datos!K31)*11)/factor_trimestre," - ")</f>
        <v>12.273972602739725</v>
      </c>
      <c r="BI31" s="1103">
        <f>IF(ISNUMBER(Datos!J31/Datos!I31),Datos!J31/Datos!I31," - ")</f>
        <v>2.1027522935779817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-1.8196078431372549</v>
      </c>
      <c r="BM31" s="1188">
        <f>IF(ISNUMBER((Datos!P31-Datos!Q31+R31)/(Datos!R31-Datos!P31+Datos!Q31-R31)),(Datos!P31-Datos!Q31+R31)/(Datos!R31-Datos!P31+Datos!Q31-R31)," - ")</f>
        <v>7.7651515151515152E-2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130.13531419257419</v>
      </c>
      <c r="G33" s="674">
        <f>IF(ISNUMBER(STDEV(G8:G30)),STDEV(G8:G30),"-")</f>
        <v>126.13579228449828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220.70859909456567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33.538890006336565</v>
      </c>
      <c r="BD33" s="673"/>
      <c r="BE33" s="673">
        <f>IF(ISNUMBER(STDEV(BE8:BE30)),STDEV(BE8:BE30),"-")</f>
        <v>0</v>
      </c>
      <c r="BF33" s="678">
        <f>IF(ISNUMBER(STDEV(BF8:BF30)),STDEV(BF8:BF30),"-")</f>
        <v>0</v>
      </c>
      <c r="BG33" s="1052">
        <f>IF(ISNUMBER(STDEV(BG8:BG30)),STDEV(BG8:BG30),"-")</f>
        <v>0.20523069991459567</v>
      </c>
      <c r="BH33" s="1058">
        <f>IF(ISNUMBER(STDEV(BH8:BH30)),STDEV(BH8:BH30),"-")</f>
        <v>13.057199814010424</v>
      </c>
      <c r="BI33" s="273">
        <f>IF(ISNUMBER(STDEV(BI8:BI30)),STDEV(BI8:BI30),"-")</f>
        <v>6.710943395276367E-2</v>
      </c>
      <c r="BJ33" s="244" t="str">
        <f>IF(ISNUMBER(BL33/BM33),BL33/BM33," - ")</f>
        <v xml:space="preserve"> - </v>
      </c>
      <c r="BK33" s="709"/>
      <c r="BL33" s="681">
        <f>IF(ISNUMBER(STDEV(BL8:BL30)),STDEV(BL8:BL30),"-")</f>
        <v>0.94047996786274002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cBeDbF+djAhHins2ay66KgtRFJo3ZgH28A5uu+iwdbfMvLpENkq3n6l91aCcIfShjX/0JR4+VEXaSYZqsGaw7w==" saltValue="eLD21pyKzbYd2gdTyo44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70</v>
      </c>
      <c r="AA12" s="551" t="str">
        <f>IF(ISNUMBER(IF(J_V="SI",Datos!L12,Datos!L12+Datos!AB12)-IF(Monitorios="SI",Datos!CD12,0)),
                          IF(J_V="SI",Datos!L12,Datos!L12+Datos!AB12)-IF(Monitorios="SI",Datos!CD12,0),
                          " - ")</f>
        <v xml:space="preserve"> - </v>
      </c>
      <c r="AB12" s="549"/>
      <c r="AC12" s="549"/>
      <c r="AD12" s="563"/>
      <c r="AE12" s="563">
        <f>IF(ISNUMBER(Datos!R12),Datos!R12," - ")</f>
        <v>545</v>
      </c>
      <c r="AF12" s="693" t="str">
        <f>IF(ISNUMBER(Datos!BV12),Datos!BV12," - ")</f>
        <v xml:space="preserve"> - </v>
      </c>
      <c r="AG12" s="552" t="str">
        <f>IF(ISNUMBER(Datos!DV12),Datos!DV12," - ")</f>
        <v xml:space="preserve"> - </v>
      </c>
      <c r="AH12" s="553"/>
      <c r="AI12" s="554"/>
      <c r="AJ12" s="552">
        <f>IF(ISNUMBER(Datos!M12),Datos!M12," - ")</f>
        <v>59</v>
      </c>
      <c r="AK12" s="693">
        <f>IF(ISNUMBER(Datos!N12),Datos!N12," - ")</f>
        <v>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16.238095238095241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9.4377510040160636E-2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70</v>
      </c>
      <c r="AA14" s="1199">
        <f t="shared" si="3"/>
        <v>4</v>
      </c>
      <c r="AB14" s="1199">
        <f t="shared" si="3"/>
        <v>0</v>
      </c>
      <c r="AC14" s="1199">
        <f t="shared" si="3"/>
        <v>0</v>
      </c>
      <c r="AD14" s="1199">
        <f t="shared" si="3"/>
        <v>0</v>
      </c>
      <c r="AE14" s="1199">
        <f t="shared" si="3"/>
        <v>547</v>
      </c>
      <c r="AF14" s="1211">
        <f t="shared" si="3"/>
        <v>0</v>
      </c>
      <c r="AG14" s="1211">
        <f t="shared" si="3"/>
        <v>0</v>
      </c>
      <c r="AH14" s="1211">
        <f t="shared" si="3"/>
        <v>0</v>
      </c>
      <c r="AI14" s="1211">
        <f t="shared" si="3"/>
        <v>0</v>
      </c>
      <c r="AJ14" s="1211">
        <f t="shared" si="3"/>
        <v>60</v>
      </c>
      <c r="AK14" s="1211">
        <f t="shared" si="3"/>
        <v>21</v>
      </c>
      <c r="AL14" s="1211">
        <f t="shared" si="3"/>
        <v>0</v>
      </c>
      <c r="AM14" s="1211">
        <f t="shared" si="3"/>
        <v>0</v>
      </c>
      <c r="AN14" s="1211">
        <f t="shared" si="3"/>
        <v>0</v>
      </c>
      <c r="AO14" s="1203">
        <f>IF(ISNUMBER(((NºAsuntos!I14/NºAsuntos!G14)*11)/factor_trimestre),((NºAsuntos!I14/NºAsuntos!G14)*11)/factor_trimestre," - ")</f>
        <v>16.315642458100559</v>
      </c>
      <c r="AP14" s="1213" t="str">
        <f>IF(ISNUMBER(Datos!CI14/Datos!CJ14),Datos!CI14/Datos!CJ14," - ")</f>
        <v xml:space="preserve"> - </v>
      </c>
      <c r="AQ14" s="1236">
        <f t="shared" ref="AQ14:AV14" si="4">SUBTOTAL(9,AQ9:AQ13)</f>
        <v>0</v>
      </c>
      <c r="AR14" s="1236">
        <f t="shared" si="4"/>
        <v>9.4377510040160636E-2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253</v>
      </c>
      <c r="G17" s="552">
        <f>IF(ISNUMBER(IF(D_I="SI",Datos!I17,Datos!I17+Datos!AC17)),IF(D_I="SI",Datos!I17,Datos!I17+Datos!AC17)," - ")</f>
        <v>253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448</v>
      </c>
      <c r="Z17" s="805">
        <f>IF(ISNUMBER(Datos!Q17),Datos!Q17," - ")</f>
        <v>24</v>
      </c>
      <c r="AA17" s="551">
        <f>IF(ISNUMBER(IF(D_I="SI",Datos!L17,Datos!L17+Datos!AF17)),IF(D_I="SI",Datos!L17,Datos!L17+Datos!AF17)," - ")</f>
        <v>358</v>
      </c>
      <c r="AB17" s="549"/>
      <c r="AC17" s="549"/>
      <c r="AD17" s="563"/>
      <c r="AE17" s="563">
        <f>IF(ISNUMBER(Datos!R17),Datos!R17," - ")</f>
        <v>22</v>
      </c>
      <c r="AF17" s="693" t="str">
        <f>IF(ISNUMBER(Datos!BV17),Datos!BV17," - ")</f>
        <v xml:space="preserve"> - </v>
      </c>
      <c r="AG17" s="552"/>
      <c r="AH17" s="553"/>
      <c r="AI17" s="554"/>
      <c r="AJ17" s="552">
        <f>IF(ISNUMBER(Datos!M17),Datos!M17," - ")</f>
        <v>66</v>
      </c>
      <c r="AK17" s="693">
        <f>IF(ISNUMBER(Datos!N17),Datos!N17," - ")</f>
        <v>255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8.7901785714285712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15.399999999999999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253</v>
      </c>
      <c r="G23" s="1197">
        <f>SUBTOTAL(9,G16:G22)</f>
        <v>272</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463</v>
      </c>
      <c r="Z23" s="1240">
        <f t="shared" si="6"/>
        <v>24</v>
      </c>
      <c r="AA23" s="1240">
        <f t="shared" si="6"/>
        <v>379</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68</v>
      </c>
      <c r="AK23" s="1240">
        <f t="shared" si="6"/>
        <v>268</v>
      </c>
      <c r="AL23" s="1240">
        <f t="shared" si="6"/>
        <v>0</v>
      </c>
      <c r="AM23" s="1240">
        <f t="shared" si="6"/>
        <v>0</v>
      </c>
      <c r="AN23" s="1240">
        <f t="shared" si="6"/>
        <v>0</v>
      </c>
      <c r="AO23" s="1242">
        <f>IF(ISNUMBER(((NºAsuntos!I23/NºAsuntos!G23)*11)/factor_trimestre),((NºAsuntos!I23/NºAsuntos!G23)*11)/factor_trimestre," - ")</f>
        <v>9.0043196544276469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255</v>
      </c>
      <c r="G31" s="1117">
        <f t="shared" si="12"/>
        <v>274</v>
      </c>
      <c r="H31" s="1118">
        <f t="shared" si="12"/>
        <v>0</v>
      </c>
      <c r="I31" s="1117">
        <f t="shared" si="12"/>
        <v>0</v>
      </c>
      <c r="J31" s="1119">
        <f t="shared" si="12"/>
        <v>0</v>
      </c>
      <c r="K31" s="1117">
        <f t="shared" si="12"/>
        <v>0</v>
      </c>
      <c r="L31" s="1120">
        <f t="shared" si="12"/>
        <v>0</v>
      </c>
      <c r="M31" s="1117">
        <f t="shared" si="12"/>
        <v>0</v>
      </c>
      <c r="N31" s="1118">
        <f t="shared" si="12"/>
        <v>135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464</v>
      </c>
      <c r="Z31" s="1124">
        <f t="shared" si="13"/>
        <v>94</v>
      </c>
      <c r="AA31" s="1125">
        <f t="shared" si="13"/>
        <v>383</v>
      </c>
      <c r="AB31" s="1125">
        <f t="shared" si="13"/>
        <v>0</v>
      </c>
      <c r="AC31" s="1125">
        <f t="shared" si="13"/>
        <v>0</v>
      </c>
      <c r="AD31" s="1126">
        <f t="shared" si="13"/>
        <v>0</v>
      </c>
      <c r="AE31" s="1126">
        <f t="shared" si="13"/>
        <v>569</v>
      </c>
      <c r="AF31" s="1127">
        <f t="shared" si="13"/>
        <v>0</v>
      </c>
      <c r="AG31" s="1128">
        <f t="shared" si="13"/>
        <v>0</v>
      </c>
      <c r="AH31" s="1129">
        <f t="shared" si="13"/>
        <v>0</v>
      </c>
      <c r="AI31" s="1127">
        <f t="shared" si="13"/>
        <v>0</v>
      </c>
      <c r="AJ31" s="1117">
        <f t="shared" si="13"/>
        <v>128</v>
      </c>
      <c r="AK31" s="1117">
        <f t="shared" si="13"/>
        <v>289</v>
      </c>
      <c r="AL31" s="1117">
        <f t="shared" si="13"/>
        <v>0</v>
      </c>
      <c r="AM31" s="1130">
        <f t="shared" si="13"/>
        <v>0</v>
      </c>
      <c r="AN31" s="1120">
        <f>IF(ISNUMBER(Datos!K31/Datos!J31),Datos!K31/Datos!J31," - ")</f>
        <v>0.70069808027923208</v>
      </c>
      <c r="AO31" s="1120">
        <f>IF(ISNUMBER(FIND("06",Criterios!A8,1)),(IF(ISNUMBER(((Datos!R31/Datos!Q31)*11)/factor_trimestre),((Datos!R31/Datos!Q31)*11)/factor_trimestre," - ")),(IF(ISNUMBER(((Datos!L31/Datos!K31)*11)/factor_trimestre),((Datos!L31/Datos!K31)*11)/factor_trimestre," - ")))</f>
        <v>12.273972602739725</v>
      </c>
      <c r="AP31" s="1131" t="str">
        <f>IF(ISNUMBER(Datos!CI31/Datos!CJ31),Datos!CI31/Datos!CJ31," - ")</f>
        <v xml:space="preserve"> - </v>
      </c>
      <c r="AQ31" s="1131">
        <f>IF(OR(ISNUMBER(FIND("01",Criterios!A8,1)),ISNUMBER(FIND("02",Criterios!A8,1)),ISNUMBER(FIND("03",Criterios!A8,1)),ISNUMBER(FIND("04",Criterios!A8,1))),(J31-Y31+K31)/(F31-K31),(I31-Y31+K31)/(F31-K31))</f>
        <v>-1.8196078431372549</v>
      </c>
      <c r="AR31" s="1131">
        <f>IF(ISNUMBER((Datos!P31-Datos!Q31+O31)/(Datos!R31-Datos!P31+Datos!Q31-O31)),(Datos!P31-Datos!Q31+O31)/(Datos!R31-Datos!P31+Datos!Q31-O31)," - ")</f>
        <v>7.7651515151515152E-2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130.13531419257419</v>
      </c>
      <c r="G33" s="674">
        <f>IF(ISNUMBER(STDEV(G8:G30)),STDEV(G8:G30),"-")</f>
        <v>126.13579228449828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33.538890006336565</v>
      </c>
      <c r="AK33" s="276"/>
      <c r="AL33" s="276">
        <f>IF(ISNUMBER(STDEV(AL8:AL30)),STDEV(AL8:AL30),"-")</f>
        <v>0</v>
      </c>
      <c r="AM33" s="278">
        <f>IF(ISNUMBER(STDEV(AM8:AM30)),STDEV(AM8:AM30),"-")</f>
        <v>0</v>
      </c>
      <c r="AN33" s="660">
        <f>IF(ISNUMBER(STDEV(AN8:AN30)),STDEV(AN8:AN30),"-")</f>
        <v>0</v>
      </c>
      <c r="AO33" s="661">
        <f>IF(ISNUMBER(STDEV(AO8:AO30)),STDEV(AO8:AO30),"-")</f>
        <v>13.06855046441653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CTM29bB0tpWwXuotfJ5k5S+xhg/DWwc60PHht++cQBhGJTvK0osefhwAMRFGFDXIXn0SOlv7tEg1qsRziVRbw==" saltValue="Hct7k0x1HMS30RSIUbmU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JUZaQbB76QNRbOBooLwkzzOgZJQAj30kLysuqgvTP/jnfbSEapafIQlXmaSmdMmppKvFphYHt22z9R3PnzNeg==" saltValue="aLX+tsiVZaOqZZuhll2J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wM6nQC2DAgRHpw/ss7XkCusb0MvC3ynmsv6B12/pfrG6JIKF+vt08pv3u/f+Tcl7ooq2Rbe8LLSARJJzPB4w==" saltValue="vlvOsuX20RW2gU75XK7i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0.16759776536312848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0.11850951639998003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oW0lyWgeyjMHoSZJulzD5Clk100+LSlVkLVckVGMNWwgdV6Eg+OCDC+B+aWOx/Cc9oez1P+B0V08oYg6mxLkg==" saltValue="loVpLolK7XPWiCoWwFmO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Mif8ms9pbUVCObqLC9/98QQW8DWMyl/FpY5sCWZNFEULlAGGwuuJpfF21cgY+Tjv5aTraefBe1D4ErgjbYgqlQ==" saltValue="SUKzhIeJPazmFIM4/scV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TORO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282</v>
      </c>
      <c r="D12" s="452">
        <f>IF(ISNUMBER(C12/Datos!BH12),C12/Datos!BH12," - ")</f>
        <v>282</v>
      </c>
      <c r="E12" s="451">
        <f>IF(ISNUMBER(IF(J_V="SI",Datos!J12,Datos!J12+Datos!Z12)),IF(J_V="SI",Datos!J12,Datos!J12+Datos!Z12)," - ")</f>
        <v>602</v>
      </c>
      <c r="F12" s="452">
        <f>IF(ISNUMBER(E12/B12),E12/B12," - ")</f>
        <v>602</v>
      </c>
      <c r="G12" s="451">
        <f>IF(ISNUMBER(IF(J_V="SI",Datos!K12,Datos!K12+Datos!AA12)),IF(J_V="SI",Datos!K12,Datos!K12+Datos!AA12)," - ")</f>
        <v>357</v>
      </c>
      <c r="H12" s="452">
        <f>IF(ISNUMBER(G12/B12),G12/B12," - ")</f>
        <v>357</v>
      </c>
      <c r="I12" s="451">
        <f>IF(ISNUMBER(IF(J_V="SI",Datos!L12,Datos!L12+Datos!AB12)),IF(J_V="SI",Datos!L12,Datos!L12+Datos!AB12)," - ")</f>
        <v>527</v>
      </c>
      <c r="J12" s="452">
        <f>IF(ISNUMBER(I12/B12),I12/B12," - ")</f>
        <v>527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284</v>
      </c>
      <c r="D14" s="1147" t="str">
        <f>IF(ISNUMBER(C14/Datos!BI14),C14/Datos!BI14," - ")</f>
        <v xml:space="preserve"> - </v>
      </c>
      <c r="E14" s="1146">
        <f>SUBTOTAL(9,E8:E13)</f>
        <v>605</v>
      </c>
      <c r="F14" s="1147">
        <f>IF(ISNUMBER(E14/B14),E14/B14," - ")</f>
        <v>605</v>
      </c>
      <c r="G14" s="1146">
        <f>SUBTOTAL(9,G8:G13)</f>
        <v>358</v>
      </c>
      <c r="H14" s="1147">
        <f>IF(ISNUMBER(G14/B14),G14/B14," - ")</f>
        <v>358</v>
      </c>
      <c r="I14" s="1146">
        <f>SUBTOTAL(9,I8:I13)</f>
        <v>531</v>
      </c>
      <c r="J14" s="1147">
        <f>IF(ISNUMBER(I14/B14),I14/B14," - ")</f>
        <v>531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253</v>
      </c>
      <c r="D17" s="452">
        <f>IF(ISNUMBER(C17/Datos!BH17),C17/Datos!BH17," - ")</f>
        <v>253</v>
      </c>
      <c r="E17" s="451">
        <f>IF(ISNUMBER(IF(D_I="SI",Datos!J17,Datos!J17+Datos!AD17)),IF(D_I="SI",Datos!J17,Datos!J17+Datos!AD17)," - ")</f>
        <v>553</v>
      </c>
      <c r="F17" s="452">
        <f>IF(ISNUMBER(E17/B17),E17/B17," - ")</f>
        <v>553</v>
      </c>
      <c r="G17" s="451">
        <f>IF(ISNUMBER(IF(D_I="SI",Datos!K17,Datos!K17+Datos!AE17)),IF(D_I="SI",Datos!K17,Datos!K17+Datos!AE17)," - ")</f>
        <v>448</v>
      </c>
      <c r="H17" s="452">
        <f>IF(ISNUMBER(G17/B17),G17/B17," - ")</f>
        <v>448</v>
      </c>
      <c r="I17" s="451">
        <f>IF(ISNUMBER(IF(D_I="SI",Datos!L17,Datos!L17+Datos!AF17)),IF(D_I="SI",Datos!L17,Datos!L17+Datos!AF17)," - ")</f>
        <v>358</v>
      </c>
      <c r="J17" s="452">
        <f>IF(ISNUMBER(I17/B17),I17/B17," - ")</f>
        <v>358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17</v>
      </c>
      <c r="F18" s="452">
        <f>IF(ISNUMBER(E18/B18),E18/B18," - ")</f>
        <v>17</v>
      </c>
      <c r="G18" s="451">
        <f>IF(ISNUMBER(IF(D_I="SI",Datos!K18,Datos!K18+Datos!AE18)),IF(D_I="SI",Datos!K18,Datos!K18+Datos!AE18)," - ")</f>
        <v>15</v>
      </c>
      <c r="H18" s="452">
        <f>IF(ISNUMBER(G18/B18),G18/B18," - ")</f>
        <v>15</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272</v>
      </c>
      <c r="D23" s="1147" t="str">
        <f>IF(ISNUMBER(C23/Datos!BI23),C23/Datos!BI23," - ")</f>
        <v xml:space="preserve"> - </v>
      </c>
      <c r="E23" s="1146">
        <f>SUBTOTAL(9,E15:E22)</f>
        <v>570</v>
      </c>
      <c r="F23" s="1147">
        <f>IF(ISNUMBER(E23/B23),E23/B23," - ")</f>
        <v>570</v>
      </c>
      <c r="G23" s="1146">
        <f>SUBTOTAL(9,G15:G22)</f>
        <v>463</v>
      </c>
      <c r="H23" s="1147">
        <f>IF(ISNUMBER(G23/B23),G23/B23," - ")</f>
        <v>463</v>
      </c>
      <c r="I23" s="1146">
        <f>SUBTOTAL(9,I15:I22)</f>
        <v>379</v>
      </c>
      <c r="J23" s="1147">
        <f>IF(ISNUMBER(I23/B23),I23/B23," - ")</f>
        <v>379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556</v>
      </c>
      <c r="D31" s="1085" t="str">
        <f>IF(ISNUMBER(C31/Datos!BI31),C31/Datos!BI31," - ")</f>
        <v xml:space="preserve"> - </v>
      </c>
      <c r="E31" s="1084">
        <f>SUBTOTAL(9,E9:E30)</f>
        <v>1175</v>
      </c>
      <c r="F31" s="1085">
        <f>IF(ISNUMBER(E31/B31),E31/B31," - ")</f>
        <v>1175</v>
      </c>
      <c r="G31" s="1084">
        <f>SUBTOTAL(9,G9:G30)</f>
        <v>821</v>
      </c>
      <c r="H31" s="1085">
        <f>IF(ISNUMBER(G31/B31),G31/B31," - ")</f>
        <v>821</v>
      </c>
      <c r="I31" s="1084">
        <f>SUBTOTAL(9,I9:I30)</f>
        <v>910</v>
      </c>
      <c r="J31" s="1085">
        <f>IF(ISNUMBER(I31/B31),I31/B31," - ")</f>
        <v>910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akxSVWBQDgIxWT2QWz30ob05bh9IOS40aVoi20IVYAT6cDOJudhXcOuIwuSuz2I9Rn7u9XIDOYz28865NMr3g==" saltValue="8MtHKxDn4m+AHuQlJFTG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16.238095238095241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9.4377510040160636E-2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70</v>
      </c>
      <c r="AE14" s="1257">
        <f t="shared" si="1"/>
        <v>0</v>
      </c>
      <c r="AF14" s="1257">
        <f t="shared" si="1"/>
        <v>4</v>
      </c>
      <c r="AG14" s="1257">
        <f t="shared" si="1"/>
        <v>0</v>
      </c>
      <c r="AH14" s="1257">
        <f t="shared" si="1"/>
        <v>545</v>
      </c>
      <c r="AI14" s="1257">
        <f t="shared" si="1"/>
        <v>0</v>
      </c>
      <c r="AJ14" s="1257">
        <f t="shared" si="1"/>
        <v>0</v>
      </c>
      <c r="AK14" s="1257">
        <f t="shared" si="1"/>
        <v>0</v>
      </c>
      <c r="AL14" s="1257">
        <f t="shared" si="1"/>
        <v>60</v>
      </c>
      <c r="AM14" s="1257">
        <f t="shared" si="1"/>
        <v>21</v>
      </c>
      <c r="AN14" s="1257">
        <f t="shared" si="1"/>
        <v>0</v>
      </c>
      <c r="AO14" s="1257">
        <f t="shared" si="1"/>
        <v>0</v>
      </c>
      <c r="AP14" s="1262">
        <f>IF(ISNUMBER(((Datos!L14/Datos!K14)*11)/factor_trimestre),((Datos!L14/Datos!K14)*11)/factor_trimestre," - ")</f>
        <v>16.726470588235294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9.4377510040160636E-2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9.0043196544276469</v>
      </c>
      <c r="AQ23" s="1262">
        <f>IF(ISNUMBER(((Datos!M23/Datos!L23)*11)/factor_trimestre),((Datos!M23/Datos!L23)*11)/factor_trimestre," - ")</f>
        <v>1.9736147757255937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5.0251256281407036E-3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70</v>
      </c>
      <c r="AE31" s="1284">
        <f t="shared" si="9"/>
        <v>0</v>
      </c>
      <c r="AF31" s="1285">
        <f t="shared" si="9"/>
        <v>4</v>
      </c>
      <c r="AG31" s="1285">
        <f t="shared" si="9"/>
        <v>0</v>
      </c>
      <c r="AH31" s="1285">
        <f t="shared" si="9"/>
        <v>545</v>
      </c>
      <c r="AI31" s="1285">
        <f t="shared" si="9"/>
        <v>0</v>
      </c>
      <c r="AJ31" s="1286">
        <f t="shared" si="9"/>
        <v>0</v>
      </c>
      <c r="AK31" s="1286">
        <f t="shared" si="9"/>
        <v>0</v>
      </c>
      <c r="AL31" s="1278">
        <f t="shared" si="9"/>
        <v>60</v>
      </c>
      <c r="AM31" s="1278">
        <f t="shared" si="9"/>
        <v>21</v>
      </c>
      <c r="AN31" s="1278">
        <f t="shared" si="9"/>
        <v>0</v>
      </c>
      <c r="AO31" s="1278">
        <f t="shared" si="9"/>
        <v>0</v>
      </c>
      <c r="AP31" s="1278">
        <f>IF(ISNUMBER(((Datos!L31/Datos!K31)*11)/factor_trimestre),((Datos!L31/Datos!K31)*11)/factor_trimestre," - ")</f>
        <v>12.273972602739725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7.7651515151515152E-2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30.600653587791225</v>
      </c>
      <c r="AM33" s="1006"/>
      <c r="AN33" s="1006">
        <f>IF(ISNUMBER(STDEV(AN8:AN30)),STDEV(AN8:AN30),"-")</f>
        <v>0</v>
      </c>
      <c r="AO33" s="1012">
        <f>IF(ISNUMBER(STDEV(AO8:AO30)),STDEV(AO8:AO30),"-")</f>
        <v>0</v>
      </c>
      <c r="AP33" s="1065">
        <f>IF(ISNUMBER(STDEV(AP8:AP30)),STDEV(AP8:AP30),"-")</f>
        <v>15.414992810450647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OFXaR1Ok4i5rFObb8hyox7Zp087rE2+kXAwenjub4hL30edo0tCkGH5i2hW5oPj50/T8Zl6ADimahzjWBpGQA==" saltValue="3HqczK3y/MkAbw0mX8ln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8kHJ2KeFQ0xnLeFCUsAJRceynjCjfx0xRsbeXOBAX2mTy3p0Dnt61ZLgdUu8AiTecY55/VGt3nMwe+ZoirvvaQ==" saltValue="w2BXV8d6iXStEM8Hjkmq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TORO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59</v>
      </c>
      <c r="E12" s="452">
        <f t="shared" si="0"/>
        <v>59</v>
      </c>
      <c r="F12" s="451">
        <f>IF(ISNUMBER(Datos!N12),Datos!N12," - ")</f>
        <v>21</v>
      </c>
      <c r="G12" s="452">
        <f t="shared" si="1"/>
        <v>21</v>
      </c>
      <c r="H12" s="451">
        <f>IF(ISNUMBER(Datos!O12),Datos!O12," - ")</f>
        <v>5</v>
      </c>
      <c r="I12" s="452">
        <f t="shared" si="2"/>
        <v>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60</v>
      </c>
      <c r="E14" s="1147">
        <f t="shared" si="0"/>
        <v>30</v>
      </c>
      <c r="F14" s="1146">
        <f>SUBTOTAL(9,F9:F13)</f>
        <v>21</v>
      </c>
      <c r="G14" s="1147">
        <f t="shared" si="1"/>
        <v>10.5</v>
      </c>
      <c r="H14" s="1146">
        <f>SUBTOTAL(9,H9:H13)</f>
        <v>5</v>
      </c>
      <c r="I14" s="1147">
        <f>IF(ISNUMBER(H14/B14),H14/B14," - ")</f>
        <v>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66</v>
      </c>
      <c r="E17" s="452">
        <f t="shared" si="3"/>
        <v>66</v>
      </c>
      <c r="F17" s="451">
        <f>IF(ISNUMBER(Datos!N17),Datos!N17," - ")</f>
        <v>255</v>
      </c>
      <c r="G17" s="452">
        <f t="shared" si="4"/>
        <v>255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68</v>
      </c>
      <c r="E23" s="1147">
        <f t="shared" si="3"/>
        <v>34</v>
      </c>
      <c r="F23" s="1146">
        <f>SUBTOTAL(9,F16:F22)</f>
        <v>268</v>
      </c>
      <c r="G23" s="1147">
        <f t="shared" si="4"/>
        <v>134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128</v>
      </c>
      <c r="E31" s="1085">
        <f>IF(ISNUMBER(D31/B31),D31/B31," - ")</f>
        <v>128</v>
      </c>
      <c r="F31" s="1084">
        <f>SUBTOTAL(9,F8:F30)</f>
        <v>289</v>
      </c>
      <c r="G31" s="1085">
        <f>IF(ISNUMBER(F31/B31),F31/B31," - ")</f>
        <v>289</v>
      </c>
      <c r="H31" s="1084">
        <f>SUBTOTAL(9,H8:H30)</f>
        <v>5</v>
      </c>
      <c r="I31" s="1085">
        <f>IF(ISNUMBER(H31/B31),H31/B31," - ")</f>
        <v>5</v>
      </c>
    </row>
    <row r="34" spans="1:1">
      <c r="A34" s="439" t="str">
        <f>Criterios!A4</f>
        <v>Fecha Informe: 14 abr. 2023</v>
      </c>
    </row>
    <row r="39" spans="1:1">
      <c r="A39" s="462"/>
    </row>
  </sheetData>
  <sheetProtection algorithmName="SHA-512" hashValue="87reaRJNqM7NrLHvxSnTpSXn4CWsPv4s6b9yoKGKvHHoIXfbzUGblg7rCEKQWk1q55DJD5yFwc5MRcxC9gkxyg==" saltValue="7ZlHi1rpZYilzuRSEfGP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TORO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117</v>
      </c>
      <c r="C12" s="489">
        <f>IF(ISNUMBER(Datos!Q12),Datos!Q12," - ")</f>
        <v>70</v>
      </c>
      <c r="D12" s="456">
        <f>IF(ISNUMBER(Datos!R12),Datos!R12," - ")</f>
        <v>545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117</v>
      </c>
      <c r="C14" s="1150">
        <f>SUBTOTAL(9,C9:C13)</f>
        <v>70</v>
      </c>
      <c r="D14" s="1148">
        <f>SUBTOTAL(9,D9:D13)</f>
        <v>547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24</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24</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135</v>
      </c>
      <c r="C31" s="1089">
        <f>SUBTOTAL(9,C8:C30)</f>
        <v>94</v>
      </c>
      <c r="D31" s="1090">
        <f>SUBTOTAL(9,D8:D30)</f>
        <v>569</v>
      </c>
    </row>
    <row r="32" spans="1:4" ht="7.5" customHeight="1"/>
    <row r="33" spans="1:1" ht="6" customHeight="1"/>
    <row r="34" spans="1:1">
      <c r="A34" s="439" t="str">
        <f>Criterios!A4</f>
        <v>Fecha Informe: 14 abr. 2023</v>
      </c>
    </row>
    <row r="39" spans="1:1">
      <c r="A39" s="462"/>
    </row>
  </sheetData>
  <sheetProtection algorithmName="SHA-512" hashValue="8GNtkmNMCbZnHm0lj74F1uErpal8p3sh8GJhvwVFxOPlePUcLNCVIqnRU4jUT15Yv1rLSUe6NJiu9TEs9N4dzA==" saltValue="y0Z1rnjmMR0PmmFrntcs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TORO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-0.5714285714285714</v>
      </c>
      <c r="D10" s="515">
        <f>IF(ISNUMBER((Datos!K10-Datos!U10)/Datos!U10),(Datos!K10-Datos!U10)/Datos!U10," - ")</f>
        <v>-0.8571428571428571</v>
      </c>
      <c r="E10" s="515">
        <f>IF(ISNUMBER((Datos!L10-Datos!V10)/Datos!V10),(Datos!L10-Datos!V10)/Datos!V10," - ")</f>
        <v>1</v>
      </c>
      <c r="F10" s="515">
        <f>IF(ISNUMBER((Datos!M10-Datos!W10)/Datos!W10),(Datos!M10-Datos!W10)/Datos!W10," - ")</f>
        <v>-0.75</v>
      </c>
      <c r="G10" s="516">
        <f>IF(ISNUMBER((Datos!N10-Datos!X10)/Datos!X10),(Datos!N10-Datos!X10)/Datos!X10," - ")</f>
        <v>-1</v>
      </c>
      <c r="H10" s="514">
        <f>IF(ISNUMBER(((NºAsuntos!G10/NºAsuntos!E10)-Datos!BD10)/Datos!BD10),((NºAsuntos!G10/NºAsuntos!E10)-Datos!BD10)/Datos!BD10," - ")</f>
        <v>-0.66666666666666674</v>
      </c>
      <c r="I10" s="515">
        <f>IF(ISNUMBER(((NºAsuntos!I10/NºAsuntos!G10)-Datos!BE10)/Datos!BE10),((NºAsuntos!I10/NºAsuntos!G10)-Datos!BE10)/Datos!BE10," - ")</f>
        <v>13.000000000000002</v>
      </c>
      <c r="J10" s="521">
        <f>IF(ISNUMBER((('Resol  Asuntos'!D10/NºAsuntos!G10)-Datos!BF10)/Datos!BF10),(('Resol  Asuntos'!D10/NºAsuntos!G10)-Datos!BF10)/Datos!BF10," - ")</f>
        <v>0.75000000000000011</v>
      </c>
      <c r="K10" s="522">
        <f>IF(ISNUMBER((((NºAsuntos!C10+NºAsuntos!E10)/NºAsuntos!G10)-Datos!BG10)/Datos!BG10),(((NºAsuntos!C10+NºAsuntos!E10)/NºAsuntos!G10)-Datos!BG10)/Datos!BG10," - ")</f>
        <v>2.8888888888888888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-0.21448467966573817</v>
      </c>
      <c r="C12" s="515">
        <f>IF(ISNUMBER(
   IF(J_V="SI",(Datos!J12-Datos!T12)/Datos!T12,(Datos!J12+Datos!Z12-(Datos!T12+Datos!AH12))/(Datos!T12+Datos!AH12))
     ),IF(J_V="SI",(Datos!J12-Datos!T12)/Datos!T12,(Datos!J12+Datos!Z12-(Datos!T12+Datos!AH12))/(Datos!T12+Datos!AH12))," - ")</f>
        <v>0.18737672583826431</v>
      </c>
      <c r="D12" s="515">
        <f>IF(ISNUMBER(
   IF(J_V="SI",(Datos!K12-Datos!U12)/Datos!U12,(Datos!K12+Datos!AA12-(Datos!U12+Datos!AI12))/(Datos!U12+Datos!AI12))
     ),IF(J_V="SI",(Datos!K12-Datos!U12)/Datos!U12,(Datos!K12+Datos!AA12-(Datos!U12+Datos!AI12))/(Datos!U12+Datos!AI12))," - ")</f>
        <v>-0.29166666666666669</v>
      </c>
      <c r="E12" s="515">
        <f>IF(ISNUMBER(
   IF(J_V="SI",(Datos!L12-Datos!V12)/Datos!V12,(Datos!L12+Datos!AB12-(Datos!V12+Datos!AJ12))/(Datos!V12+Datos!AJ12))
     ),IF(J_V="SI",(Datos!L12-Datos!V12)/Datos!V12,(Datos!L12+Datos!AB12-(Datos!V12+Datos!AJ12))/(Datos!V12+Datos!AJ12))," - ")</f>
        <v>0.86879432624113473</v>
      </c>
      <c r="F12" s="515">
        <f>IF(ISNUMBER((Datos!M12-Datos!W12)/Datos!W12),(Datos!M12-Datos!W12)/Datos!W12," - ")</f>
        <v>-0.58450704225352113</v>
      </c>
      <c r="G12" s="516">
        <f>IF(ISNUMBER((Datos!N12-Datos!X12)/Datos!X12),(Datos!N12-Datos!X12)/Datos!X12," - ")</f>
        <v>-0.9023255813953488</v>
      </c>
      <c r="H12" s="514">
        <f>IF(ISNUMBER(((NºAsuntos!G12/NºAsuntos!E12)-Datos!BD12)/Datos!BD12),((NºAsuntos!G12/NºAsuntos!E12)-Datos!BD12)/Datos!BD12," - ")</f>
        <v>-0.40344684385382051</v>
      </c>
      <c r="I12" s="515">
        <f>IF(ISNUMBER(((NºAsuntos!I12/NºAsuntos!G12)-Datos!BE12)/Datos!BE12),((NºAsuntos!I12/NºAsuntos!G12)-Datos!BE12)/Datos!BE12," - ")</f>
        <v>1.6382978723404256</v>
      </c>
      <c r="J12" s="521">
        <f>IF(ISNUMBER((('Resol  Asuntos'!D12/NºAsuntos!G12)-Datos!BF12)/Datos!BF12),(('Resol  Asuntos'!D12/NºAsuntos!G12)-Datos!BF12)/Datos!BF12," - ")</f>
        <v>-0.61258549931600537</v>
      </c>
      <c r="K12" s="522">
        <f>IF(ISNUMBER((((NºAsuntos!C12+NºAsuntos!E12)/NºAsuntos!G12)-Datos!BG12)/Datos!BG12),(((NºAsuntos!C12+NºAsuntos!E12)/NºAsuntos!G12)-Datos!BG12)/Datos!BG12," - ")</f>
        <v>0.4411085450346422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-0.21329639889196675</v>
      </c>
      <c r="C14" s="1152">
        <f>IF(ISNUMBER(
   IF(J_V="SI",(Datos!J14-Datos!T14)/Datos!T14,(Datos!J14+Datos!Z14-(Datos!T14+Datos!AH14))/(Datos!T14+Datos!AH14))
     ),IF(J_V="SI",(Datos!J14-Datos!T14)/Datos!T14,(Datos!J14+Datos!Z14-(Datos!T14+Datos!AH14))/(Datos!T14+Datos!AH14))," - ")</f>
        <v>0.17704280155642024</v>
      </c>
      <c r="D14" s="1152">
        <f>IF(ISNUMBER(
   IF(J_V="SI",(Datos!K14-Datos!U14)/Datos!U14,(Datos!K14+Datos!AA14-(Datos!U14+Datos!AI14))/(Datos!U14+Datos!AI14))
     ),IF(J_V="SI",(Datos!K14-Datos!U14)/Datos!U14,(Datos!K14+Datos!AA14-(Datos!U14+Datos!AI14))/(Datos!U14+Datos!AI14))," - ")</f>
        <v>-0.299412915851272</v>
      </c>
      <c r="E14" s="1152">
        <f>IF(ISNUMBER(
   IF(J_V="SI",(Datos!L14-Datos!V14)/Datos!V14,(Datos!L14+Datos!AB14-(Datos!V14+Datos!AJ14))/(Datos!V14+Datos!AJ14))
     ),IF(J_V="SI",(Datos!L14-Datos!V14)/Datos!V14,(Datos!L14+Datos!AB14-(Datos!V14+Datos!AJ14))/(Datos!V14+Datos!AJ14))," - ")</f>
        <v>0.86971830985915488</v>
      </c>
      <c r="F14" s="1153">
        <f>IF(ISNUMBER((Datos!M14-Datos!W14)/Datos!W14),(Datos!M14-Datos!W14)/Datos!W14," - ")</f>
        <v>-0.58904109589041098</v>
      </c>
      <c r="G14" s="1154">
        <f>IF(ISNUMBER((Datos!N14-Datos!X14)/Datos!X14),(Datos!N14-Datos!X14)/Datos!X14," - ")</f>
        <v>-0.90277777777777779</v>
      </c>
      <c r="H14" s="1154">
        <f>IF(ISNUMBER(((NºAsuntos!G14/NºAsuntos!E14)-Datos!BD14)/Datos!BD14),((NºAsuntos!G14/NºAsuntos!E14)-Datos!BD14)/Datos!BD14," - ")</f>
        <v>-0.404790477268684</v>
      </c>
      <c r="I14" s="1154">
        <f>IF(ISNUMBER(((NºAsuntos!I14/NºAsuntos!G14)-Datos!BE14)/Datos!BE14),((NºAsuntos!I14/NºAsuntos!G14)-Datos!BE14)/Datos!BE14," - ")</f>
        <v>1.6687878668660008</v>
      </c>
      <c r="J14" s="1154">
        <f>IF(ISNUMBER((('Resol  Asuntos'!D14/NºAsuntos!G14)-Datos!BF14)/Datos!BF14),(('Resol  Asuntos'!D14/NºAsuntos!G14)-Datos!BF14)/Datos!BF14," - ")</f>
        <v>-0.60893854748603349</v>
      </c>
      <c r="K14" s="1154">
        <f>IF(ISNUMBER((((NºAsuntos!C14+NºAsuntos!E14)/NºAsuntos!G14)-Datos!BG14)/Datos!BG14),(((NºAsuntos!C14+NºAsuntos!E14)/NºAsuntos!G14)-Datos!BG14)/Datos!BG14," - ")</f>
        <v>0.45021229050279327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-0.35128205128205126</v>
      </c>
      <c r="C17" s="515">
        <f>IF(ISNUMBER(
   IF(D_I="SI",(Datos!J17-Datos!T17)/Datos!T17,(Datos!J17+Datos!AD17-(Datos!T17+Datos!AL17))/(Datos!T17+Datos!AL17))
     ),IF(D_I="SI",(Datos!J17-Datos!T17)/Datos!T17,(Datos!J17+Datos!AD17-(Datos!T17+Datos!AL17))/(Datos!T17+Datos!AL17))," - ")</f>
        <v>3.7523452157598502E-2</v>
      </c>
      <c r="D17" s="515">
        <f>IF(ISNUMBER(
   IF(D_I="SI",(Datos!K17-Datos!U17)/Datos!U17,(Datos!K17+Datos!AE17-(Datos!U17+Datos!AM17))/(Datos!U17+Datos!AM17))
     ),IF(D_I="SI",(Datos!K17-Datos!U17)/Datos!U17,(Datos!K17+Datos!AE17-(Datos!U17+Datos!AM17))/(Datos!U17+Datos!AM17))," - ")</f>
        <v>-0.27272727272727271</v>
      </c>
      <c r="E17" s="515">
        <f>IF(ISNUMBER(
   IF(D_I="SI",(Datos!L17-Datos!V17)/Datos!V17,(Datos!L17+Datos!AF17-(Datos!V17+Datos!AN17))/(Datos!V17+Datos!AN17))
     ),IF(D_I="SI",(Datos!L17-Datos!V17)/Datos!V17,(Datos!L17+Datos!AF17-(Datos!V17+Datos!AN17))/(Datos!V17+Datos!AN17))," - ")</f>
        <v>0.41501976284584979</v>
      </c>
      <c r="F17" s="515">
        <f>IF(ISNUMBER((Datos!M17-Datos!W17)/Datos!W17),(Datos!M17-Datos!W17)/Datos!W17," - ")</f>
        <v>-0.15384615384615385</v>
      </c>
      <c r="G17" s="516">
        <f>IF(ISNUMBER((Datos!N17-Datos!X17)/Datos!X17),(Datos!N17-Datos!X17)/Datos!X17," - ")</f>
        <v>-0.43080357142857145</v>
      </c>
      <c r="H17" s="514">
        <f>IF(ISNUMBER(((NºAsuntos!G17/NºAsuntos!E17)-Datos!BD17)/Datos!BD17),((NºAsuntos!G17/NºAsuntos!E17)-Datos!BD17)/Datos!BD17," - ")</f>
        <v>-0.2990300838402104</v>
      </c>
      <c r="I17" s="515">
        <f>IF(ISNUMBER(((NºAsuntos!I17/NºAsuntos!G17)-Datos!BE17)/Datos!BE17),((NºAsuntos!I17/NºAsuntos!G17)-Datos!BE17)/Datos!BE17," - ")</f>
        <v>0.94565217391304368</v>
      </c>
      <c r="J17" s="521">
        <f>IF(ISNUMBER((('Resol  Asuntos'!D17/NºAsuntos!G17)-Datos!BF17)/Datos!BF17),(('Resol  Asuntos'!D17/NºAsuntos!G17)-Datos!BF17)/Datos!BF17," - ")</f>
        <v>0.1634615384615386</v>
      </c>
      <c r="K17" s="522">
        <f>IF(ISNUMBER((((NºAsuntos!C17+NºAsuntos!E17)/NºAsuntos!G17)-Datos!BG17)/Datos!BG17),(((NºAsuntos!C17+NºAsuntos!E17)/NºAsuntos!G17)-Datos!BG17)/Datos!BG17," - ")</f>
        <v>0.20070422535211266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v>
      </c>
      <c r="C18" s="515">
        <f>IF(ISNUMBER(
   IF(D_I="SI",(Datos!J18-Datos!T18)/Datos!T18,(Datos!J18+Datos!AD18-(Datos!T18+Datos!AL18))/(Datos!T18+Datos!AL18))
     ),IF(D_I="SI",(Datos!J18-Datos!T18)/Datos!T18,(Datos!J18+Datos!AD18-(Datos!T18+Datos!AL18))/(Datos!T18+Datos!AL18))," - ")</f>
        <v>-0.34615384615384615</v>
      </c>
      <c r="D18" s="515">
        <f>IF(ISNUMBER(
   IF(D_I="SI",(Datos!K18-Datos!U18)/Datos!U18,(Datos!K18+Datos!AE18-(Datos!U18+Datos!AM18))/(Datos!U18+Datos!AM18))
     ),IF(D_I="SI",(Datos!K18-Datos!U18)/Datos!U18,(Datos!K18+Datos!AE18-(Datos!U18+Datos!AM18))/(Datos!U18+Datos!AM18))," - ")</f>
        <v>-0.21052631578947367</v>
      </c>
      <c r="E18" s="515">
        <f>IF(ISNUMBER(
   IF(D_I="SI",(Datos!L18-Datos!V18)/Datos!V18,(Datos!L18+Datos!AF18-(Datos!V18+Datos!AN18))/(Datos!V18+Datos!AN18))
     ),IF(D_I="SI",(Datos!L18-Datos!V18)/Datos!V18,(Datos!L18+Datos!AF18-(Datos!V18+Datos!AN18))/(Datos!V18+Datos!AN18))," - ")</f>
        <v>0.10526315789473684</v>
      </c>
      <c r="F18" s="515">
        <f>IF(ISNUMBER((Datos!M18-Datos!W18)/Datos!W18),(Datos!M18-Datos!W18)/Datos!W18," - ")</f>
        <v>1</v>
      </c>
      <c r="G18" s="516">
        <f>IF(ISNUMBER((Datos!N18-Datos!X18)/Datos!X18),(Datos!N18-Datos!X18)/Datos!X18," - ")</f>
        <v>-0.23529411764705882</v>
      </c>
      <c r="H18" s="514">
        <f>IF(ISNUMBER(((NºAsuntos!G18/NºAsuntos!E18)-Datos!BD18)/Datos!BD18),((NºAsuntos!G18/NºAsuntos!E18)-Datos!BD18)/Datos!BD18," - ")</f>
        <v>0.20743034055727558</v>
      </c>
      <c r="I18" s="515">
        <f>IF(ISNUMBER(((NºAsuntos!I18/NºAsuntos!G18)-Datos!BE18)/Datos!BE18),((NºAsuntos!I18/NºAsuntos!G18)-Datos!BE18)/Datos!BE18," - ")</f>
        <v>0.39999999999999991</v>
      </c>
      <c r="J18" s="521">
        <f>IF(ISNUMBER((('Resol  Asuntos'!D18/NºAsuntos!G18)-Datos!BF18)/Datos!BF18),(('Resol  Asuntos'!D18/NºAsuntos!G18)-Datos!BF18)/Datos!BF18," - ")</f>
        <v>1.5333333333333334</v>
      </c>
      <c r="K18" s="522">
        <f>IF(ISNUMBER((((NºAsuntos!C18+NºAsuntos!E18)/NºAsuntos!G18)-Datos!BG18)/Datos!BG18),(((NºAsuntos!C18+NºAsuntos!E18)/NºAsuntos!G18)-Datos!BG18)/Datos!BG18," - ")</f>
        <v>0.26666666666666666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v>
      </c>
      <c r="C23" s="1152">
        <f>IF(ISNUMBER(
   IF(Criterios!B14="SI",(Datos!J23-Datos!T23)/Datos!T23,(Datos!J23+Datos!AD23-(Datos!T23+Datos!AL23))/(Datos!T23+Datos!AL23))
     ),IF(Criterios!B14="SI",(Datos!J23-Datos!T23)/Datos!T23,(Datos!J23+Datos!AD23-(Datos!T23+Datos!AL23))/(Datos!T23+Datos!AL23))," - ")</f>
        <v>1.9677996422182469E-2</v>
      </c>
      <c r="D23" s="1152">
        <f>IF(ISNUMBER(
   IF(Criterios!B14="SI",(Datos!K23-Datos!U23)/Datos!U23,(Datos!K23+Datos!AE23-(Datos!U23+Datos!AM23))/(Datos!U23+Datos!AM23))
     ),IF(Criterios!B14="SI",(Datos!K23-Datos!U23)/Datos!U23,(Datos!K23+Datos!AE23-(Datos!U23+Datos!AM23))/(Datos!U23+Datos!AM23))," - ")</f>
        <v>-0.27086614173228346</v>
      </c>
      <c r="E23" s="1152">
        <f>IF(ISNUMBER(
   IF(Criterios!B14="SI",(Datos!L23-Datos!V23)/Datos!V23,(Datos!L23+Datos!AF23-(Datos!V23+Datos!AN23))/(Datos!V23+Datos!AN23))
     ),IF(Criterios!B14="SI",(Datos!L23-Datos!V23)/Datos!V23,(Datos!L23+Datos!AF23-(Datos!V23+Datos!AN23))/(Datos!V23+Datos!AN23))," - ")</f>
        <v>0.39338235294117646</v>
      </c>
      <c r="F23" s="1153">
        <f>IF(ISNUMBER((Datos!M23-Datos!W23)/Datos!W23),(Datos!M23-Datos!W23)/Datos!W23," - ")</f>
        <v>-0.13924050632911392</v>
      </c>
      <c r="G23" s="1154">
        <f>IF(ISNUMBER((Datos!N23-Datos!X23)/Datos!X23),(Datos!N23-Datos!X23)/Datos!X23," - ")</f>
        <v>-0.42365591397849461</v>
      </c>
      <c r="H23" s="1154">
        <f>IF(ISNUMBER(((NºAsuntos!G23/NºAsuntos!E23)-Datos!BD23)/Datos!BD23),((NºAsuntos!G23/NºAsuntos!E23)-Datos!BD23)/Datos!BD23," - ")</f>
        <v>-0.28493714601464293</v>
      </c>
      <c r="I23" s="1154">
        <f>IF(ISNUMBER(((NºAsuntos!I23/NºAsuntos!G23)-Datos!BE23)/Datos!BE23),((NºAsuntos!I23/NºAsuntos!G23)-Datos!BE23)/Datos!BE23," - ")</f>
        <v>0.91101035446576051</v>
      </c>
      <c r="J23" s="1154">
        <f>IF(ISNUMBER((('Resol  Asuntos'!D23/NºAsuntos!G23)-Datos!BF23)/Datos!BF23),(('Resol  Asuntos'!D23/NºAsuntos!G23)-Datos!BF23)/Datos!BF23," - ")</f>
        <v>0.18052327965661485</v>
      </c>
      <c r="K23" s="1154">
        <f>IF(ISNUMBER((((NºAsuntos!C23+NºAsuntos!E23)/NºAsuntos!G23)-Datos!BG23)/Datos!BG23),(((NºAsuntos!C23+NºAsuntos!E23)/NºAsuntos!G23)-Datos!BG23)/Datos!BG23," - ")</f>
        <v>0.204165606271832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-0.26938239159001315</v>
      </c>
      <c r="C31" s="1092">
        <f>IF(ISNUMBER(
   IF(J_V="SI",(Datos!J31-Datos!T31)/Datos!T31,(Datos!J31+Datos!Z31-(Datos!T31+Datos!AH31))/(Datos!T31+Datos!AH31))
     ),IF(J_V="SI",(Datos!J31-Datos!T31)/Datos!T31,(Datos!J31+Datos!Z31-(Datos!T31+Datos!AH31))/(Datos!T31+Datos!AH31))," - ")</f>
        <v>9.5060577819198508E-2</v>
      </c>
      <c r="D31" s="1092">
        <f>IF(ISNUMBER(
   IF(J_V="SI",(Datos!K31-Datos!U31)/Datos!U31,(Datos!K31+Datos!AA31-(Datos!U31+Datos!AI31))/(Datos!U31+Datos!AI31))
     ),IF(J_V="SI",(Datos!K31-Datos!U31)/Datos!U31,(Datos!K31+Datos!AA31-(Datos!U31+Datos!AI31))/(Datos!U31+Datos!AI31))," - ")</f>
        <v>-0.28359511343804539</v>
      </c>
      <c r="E31" s="1092">
        <f>IF(ISNUMBER(
   IF(J_V="SI",(Datos!L31-Datos!V31)/Datos!V31,(Datos!L31+Datos!AB31-(Datos!V31+Datos!AJ31))/(Datos!V31+Datos!AJ31))
     ),IF(J_V="SI",(Datos!L31-Datos!V31)/Datos!V31,(Datos!L31+Datos!AB31-(Datos!V31+Datos!AJ31))/(Datos!V31+Datos!AJ31))," - ")</f>
        <v>0.63669064748201443</v>
      </c>
      <c r="F31" s="1093">
        <f>IF(ISNUMBER((Datos!M31-Datos!W31)/Datos!W31),(Datos!M31-Datos!W31)/Datos!W31," - ")</f>
        <v>-0.43111111111111111</v>
      </c>
      <c r="G31" s="1094">
        <f>IF(ISNUMBER((Datos!N31-Datos!X31)/Datos!X31),(Datos!N31-Datos!X31)/Datos!X31," - ")</f>
        <v>-0.57562408223201178</v>
      </c>
      <c r="H31" s="1095">
        <f>IF(ISNUMBER((Tasas!B31-Datos!BD31)/Datos!BD31),(Tasas!B31-Datos!BD31)/Datos!BD31," - ")</f>
        <v>-0.34578515465448734</v>
      </c>
      <c r="I31" s="1096">
        <f>IF(ISNUMBER((Tasas!C31-Datos!BE31)/Datos!BE31),(Tasas!C31-Datos!BE31)/Datos!BE31," - ")</f>
        <v>1.2845888940491943</v>
      </c>
      <c r="J31" s="1097">
        <f>IF(ISNUMBER((Tasas!D31-Datos!BF31)/Datos!BF31),(Tasas!D31-Datos!BF31)/Datos!BF31," - ")</f>
        <v>-0.40043652772441535</v>
      </c>
      <c r="K31" s="1097">
        <f>IF(ISNUMBER((Tasas!E31-Datos!BG31)/Datos!BG31),(Tasas!E31-Datos!BG31)/Datos!BG31," - ")</f>
        <v>0.31746533538241656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z7lWXQruXeQvbJDGQNPIiAzdMc+oBQiabKmWjxUjKEZVa0cCvnEkKAn6xYRMoLVqm6l+jys7hixy0hHlrS99w==" saltValue="1XO0xyc5zj4F643oVk7z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TORO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0.59302325581395354</v>
      </c>
      <c r="C12" s="498">
        <f>IF(ISNUMBER(NºAsuntos!I12/NºAsuntos!G12),NºAsuntos!I12/NºAsuntos!G12," - ")</f>
        <v>1.4761904761904763</v>
      </c>
      <c r="D12" s="499">
        <f>IF(ISNUMBER('Resol  Asuntos'!D12/NºAsuntos!G12),'Resol  Asuntos'!D12/NºAsuntos!G12," - ")</f>
        <v>0.16526610644257703</v>
      </c>
      <c r="E12" s="500">
        <f>IF(ISNUMBER((NºAsuntos!C12+NºAsuntos!E12)/NºAsuntos!G12),(NºAsuntos!C12+NºAsuntos!E12)/NºAsuntos!G12," - ")</f>
        <v>2.4761904761904763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0.59173553719008265</v>
      </c>
      <c r="C14" s="1156">
        <f>IF(ISNUMBER(NºAsuntos!I14/NºAsuntos!G14),NºAsuntos!I14/NºAsuntos!G14," - ")</f>
        <v>1.4832402234636872</v>
      </c>
      <c r="D14" s="1157">
        <f>IF(ISNUMBER('Resol  Asuntos'!D14/NºAsuntos!G14),'Resol  Asuntos'!D14/NºAsuntos!G14," - ")</f>
        <v>0.16759776536312848</v>
      </c>
      <c r="E14" s="1158">
        <f>IF(ISNUMBER((NºAsuntos!C14+NºAsuntos!E14)/NºAsuntos!G14),(NºAsuntos!C14+NºAsuntos!E14)/NºAsuntos!G14," - ")</f>
        <v>2.483240223463687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0.810126582278481</v>
      </c>
      <c r="C17" s="498">
        <f>IF(ISNUMBER(NºAsuntos!I17/NºAsuntos!G17),NºAsuntos!I17/NºAsuntos!G17," - ")</f>
        <v>0.7991071428571429</v>
      </c>
      <c r="D17" s="499">
        <f>IF(ISNUMBER('Resol  Asuntos'!D17/NºAsuntos!G17),'Resol  Asuntos'!D17/NºAsuntos!G17," - ")</f>
        <v>0.14732142857142858</v>
      </c>
      <c r="E17" s="500">
        <f>IF(ISNUMBER((NºAsuntos!C17+NºAsuntos!E17)/NºAsuntos!G17),(NºAsuntos!C17+NºAsuntos!E17)/NºAsuntos!G17," - ")</f>
        <v>1.7991071428571428</v>
      </c>
      <c r="G17" s="523"/>
    </row>
    <row r="18" spans="1:7">
      <c r="A18" s="450" t="str">
        <f>Datos!A18</f>
        <v>Jdos. Violencia contra la mujer</v>
      </c>
      <c r="B18" s="497">
        <f>IF(ISNUMBER(NºAsuntos!G18/NºAsuntos!E18),NºAsuntos!G18/NºAsuntos!E18," - ")</f>
        <v>0.88235294117647056</v>
      </c>
      <c r="C18" s="498">
        <f>IF(ISNUMBER(NºAsuntos!I18/NºAsuntos!G18),NºAsuntos!I18/NºAsuntos!G18," - ")</f>
        <v>1.4</v>
      </c>
      <c r="D18" s="499">
        <f>IF(ISNUMBER('Resol  Asuntos'!D18/NºAsuntos!G18),'Resol  Asuntos'!D18/NºAsuntos!G18," - ")</f>
        <v>0.13333333333333333</v>
      </c>
      <c r="E18" s="500">
        <f>IF(ISNUMBER((NºAsuntos!C18+NºAsuntos!E18)/NºAsuntos!G18),(NºAsuntos!C18+NºAsuntos!E18)/NºAsuntos!G18," - ")</f>
        <v>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0.81228070175438594</v>
      </c>
      <c r="C23" s="1156">
        <f>IF(ISNUMBER(NºAsuntos!I23/NºAsuntos!G23),NºAsuntos!I23/NºAsuntos!G23," - ")</f>
        <v>0.81857451403887693</v>
      </c>
      <c r="D23" s="1159">
        <f>IF(ISNUMBER('Resol  Asuntos'!D23/NºAsuntos!G23),'Resol  Asuntos'!D23/NºAsuntos!G23," - ")</f>
        <v>0.14686825053995681</v>
      </c>
      <c r="E23" s="1158">
        <f>IF(ISNUMBER((NºAsuntos!C23+NºAsuntos!E23)/NºAsuntos!G23),(NºAsuntos!C23+NºAsuntos!E23)/NºAsuntos!G23," - ")</f>
        <v>1.8185745140388769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0.6987234042553192</v>
      </c>
      <c r="C31" s="1099">
        <f>IF(ISNUMBER(NºAsuntos!I31/NºAsuntos!G31),NºAsuntos!I31/NºAsuntos!G31," - ")</f>
        <v>1.1084043848964678</v>
      </c>
      <c r="D31" s="1100">
        <f>IF(ISNUMBER('Resol  Asuntos'!D31/NºAsuntos!G31),'Resol  Asuntos'!D31/NºAsuntos!G31," - ")</f>
        <v>0.15590742996345919</v>
      </c>
      <c r="E31" s="1101">
        <f>IF(ISNUMBER((NºAsuntos!C31+NºAsuntos!E31)/NºAsuntos!G31),(NºAsuntos!C31+NºAsuntos!E31)/NºAsuntos!G31," - ")</f>
        <v>2.1084043848964678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uCQVoSVsOQJfzru0mp7U3TTDrtheIYNtgcQck7Rq5qc/NMSCBtbuJZLLJAiNzUbyBxuZLmfikGfSVo0b4Wp3w==" saltValue="uXS/qZoFI3uQhVFgJsjf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44</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70</v>
      </c>
      <c r="Y12" s="374">
        <f t="shared" si="0"/>
        <v>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0.59302325581395354</v>
      </c>
      <c r="AM12" s="284">
        <f>IF(ISNUMBER(((NºAsuntos!I12/NºAsuntos!G12)*11)/factor_trimestre),((NºAsuntos!I12/NºAsuntos!G12)*11)/factor_trimestre," - ")</f>
        <v>16.238095238095241</v>
      </c>
      <c r="AN12" s="267">
        <f>IF(ISNUMBER('Resol  Asuntos'!D12/NºAsuntos!G12),'Resol  Asuntos'!D12/NºAsuntos!G12," - ")</f>
        <v>0.16526610644257703</v>
      </c>
      <c r="AO12" s="268">
        <f>IF(ISNUMBER((NºAsuntos!C12+NºAsuntos!E12)/NºAsuntos!G12),(NºAsuntos!C12+NºAsuntos!E12)/NºAsuntos!G12," - ")</f>
        <v>2.4761904761904763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70</v>
      </c>
      <c r="Y14" s="1165">
        <f t="shared" si="6"/>
        <v>71</v>
      </c>
      <c r="Z14" s="1165">
        <f t="shared" si="6"/>
        <v>0</v>
      </c>
      <c r="AA14" s="1165">
        <f t="shared" si="6"/>
        <v>4</v>
      </c>
      <c r="AB14" s="1165">
        <f t="shared" si="6"/>
        <v>547</v>
      </c>
      <c r="AC14" s="1165">
        <f t="shared" si="6"/>
        <v>6</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0.59173553719008265</v>
      </c>
      <c r="AM14" s="1171">
        <f>IF(ISNUMBER(((NºAsuntos!I14/NºAsuntos!G14)*11)/factor_trimestre),((NºAsuntos!I14/NºAsuntos!G14)*11)/factor_trimestre," - ")</f>
        <v>16.315642458100559</v>
      </c>
      <c r="AN14" s="1172">
        <f>IF(ISNUMBER('Resol  Asuntos'!D14/NºAsuntos!G14),'Resol  Asuntos'!D14/NºAsuntos!G14," - ")</f>
        <v>0.16759776536312848</v>
      </c>
      <c r="AO14" s="1173">
        <f>IF(ISNUMBER((NºAsuntos!C14+NºAsuntos!E14)/NºAsuntos!G14),(NºAsuntos!C14+NºAsuntos!E14)/NºAsuntos!G14," - ")</f>
        <v>2.483240223463687</v>
      </c>
      <c r="AP14" s="1174" t="str">
        <f t="shared" si="2"/>
        <v xml:space="preserve"> - </v>
      </c>
      <c r="AQ14" s="1174">
        <f>IF(ISNUMBER((H14-W14+K14)/(F14)),(H14-W14+K14)/(F14)," - ")</f>
        <v>-0.5</v>
      </c>
      <c r="AR14" s="1175">
        <f>IF(ISNUMBER((Datos!P14-Datos!Q14)/(Datos!R14-Datos!P14+Datos!Q14)),(Datos!P14-Datos!Q14)/(Datos!R14-Datos!P14+Datos!Q14)," - ")</f>
        <v>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253</v>
      </c>
      <c r="G17" s="373">
        <f>IF(ISNUMBER(IF(D_I="SI",Datos!I17,Datos!I17+Datos!AC17)),IF(D_I="SI",Datos!I17,Datos!I17+Datos!AC17)," - ")</f>
        <v>253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448</v>
      </c>
      <c r="X17" s="240">
        <f>IF(ISNUMBER(Datos!Q17),Datos!Q17," - ")</f>
        <v>24</v>
      </c>
      <c r="Y17" s="374">
        <f t="shared" ref="Y17:Y22" si="9">SUM(W17:X17)</f>
        <v>472</v>
      </c>
      <c r="Z17" s="375" t="str">
        <f>IF(ISNUMBER(Datos!CC17),Datos!CC17," - ")</f>
        <v xml:space="preserve"> - </v>
      </c>
      <c r="AA17" s="372">
        <f>IF(ISNUMBER(IF(D_I="SI",Datos!L17,Datos!L17+Datos!AF17)),IF(D_I="SI",Datos!L17,Datos!L17+Datos!AF17)," - ")</f>
        <v>358</v>
      </c>
      <c r="AB17" s="374">
        <f>IF(ISNUMBER(Datos!R17),Datos!R17," - ")</f>
        <v>22</v>
      </c>
      <c r="AC17" s="374">
        <f t="shared" si="8"/>
        <v>380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0.810126582278481</v>
      </c>
      <c r="AM17" s="284">
        <f>IF(ISNUMBER(((NºAsuntos!I17/NºAsuntos!G17)*11)/factor_trimestre),((NºAsuntos!I17/NºAsuntos!G17)*11)/factor_trimestre," - ")</f>
        <v>8.7901785714285712</v>
      </c>
      <c r="AN17" s="267">
        <f>IF(ISNUMBER('Resol  Asuntos'!D17/NºAsuntos!G17),'Resol  Asuntos'!D17/NºAsuntos!G17," - ")</f>
        <v>0.14732142857142858</v>
      </c>
      <c r="AO17" s="268">
        <f>IF(ISNUMBER((NºAsuntos!C17+NºAsuntos!E17)/NºAsuntos!G17),(NºAsuntos!C17+NºAsuntos!E17)/NºAsuntos!G17," - ")</f>
        <v>1.7991071428571428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0.88235294117647056</v>
      </c>
      <c r="AM18" s="284">
        <f>IF(ISNUMBER(((NºAsuntos!I18/NºAsuntos!G18)*11)/factor_trimestre),((NºAsuntos!I18/NºAsuntos!G18)*11)/factor_trimestre," - ")</f>
        <v>15.399999999999999</v>
      </c>
      <c r="AN18" s="267">
        <f>IF(ISNUMBER('Resol  Asuntos'!D18/NºAsuntos!G18),'Resol  Asuntos'!D18/NºAsuntos!G18," - ")</f>
        <v>0.13333333333333333</v>
      </c>
      <c r="AO18" s="268">
        <f>IF(ISNUMBER((NºAsuntos!C18+NºAsuntos!E18)/NºAsuntos!G18),(NºAsuntos!C18+NºAsuntos!E18)/NºAsuntos!G18," - ")</f>
        <v>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253</v>
      </c>
      <c r="G23" s="1163">
        <f>SUBTOTAL(9,G16:G22)</f>
        <v>272</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463</v>
      </c>
      <c r="X23" s="1164">
        <f t="shared" si="14"/>
        <v>24</v>
      </c>
      <c r="Y23" s="1165">
        <f t="shared" si="14"/>
        <v>487</v>
      </c>
      <c r="Z23" s="1165">
        <f t="shared" si="14"/>
        <v>0</v>
      </c>
      <c r="AA23" s="1165">
        <f t="shared" si="14"/>
        <v>379</v>
      </c>
      <c r="AB23" s="1165">
        <f t="shared" si="14"/>
        <v>22</v>
      </c>
      <c r="AC23" s="1165">
        <f t="shared" si="14"/>
        <v>401</v>
      </c>
      <c r="AD23" s="1165">
        <f t="shared" si="14"/>
        <v>0</v>
      </c>
      <c r="AE23" s="1169">
        <f t="shared" si="14"/>
        <v>0</v>
      </c>
      <c r="AF23" s="1162">
        <f t="shared" si="14"/>
        <v>0</v>
      </c>
      <c r="AG23" s="1170">
        <f t="shared" si="14"/>
        <v>0</v>
      </c>
      <c r="AH23" s="1167">
        <f t="shared" si="14"/>
        <v>0</v>
      </c>
      <c r="AI23" s="1162">
        <f t="shared" si="14"/>
        <v>68</v>
      </c>
      <c r="AJ23" s="1164">
        <f t="shared" si="14"/>
        <v>0</v>
      </c>
      <c r="AK23" s="1167">
        <f t="shared" si="14"/>
        <v>0</v>
      </c>
      <c r="AL23" s="1171">
        <f>IF(ISNUMBER(NºAsuntos!G23/NºAsuntos!E23),NºAsuntos!G23/NºAsuntos!E23," - ")</f>
        <v>0.81228070175438594</v>
      </c>
      <c r="AM23" s="1171">
        <f>IF(ISNUMBER(((NºAsuntos!I23/NºAsuntos!G23)*11)/factor_trimestre),((NºAsuntos!I23/NºAsuntos!G23)*11)/factor_trimestre," - ")</f>
        <v>9.0043196544276469</v>
      </c>
      <c r="AN23" s="1172">
        <f>IF(ISNUMBER('Resol  Asuntos'!D23/NºAsuntos!G23),'Resol  Asuntos'!D23/NºAsuntos!G23," - ")</f>
        <v>0.14686825053995681</v>
      </c>
      <c r="AO23" s="1173">
        <f>IF(ISNUMBER((NºAsuntos!C23+NºAsuntos!E23)/NºAsuntos!G23),(NºAsuntos!C23+NºAsuntos!E23)/NºAsuntos!G23," - ")</f>
        <v>1.8185745140388769</v>
      </c>
      <c r="AP23" s="1174" t="str">
        <f t="shared" si="2"/>
        <v xml:space="preserve"> - </v>
      </c>
      <c r="AQ23" s="1174">
        <f>IF(ISNUMBER((H23-W23+K23)/(F23)),(H23-W23+K23)/(F23)," - ")</f>
        <v>-1.8300395256916997</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255</v>
      </c>
      <c r="G31" s="1118">
        <f t="shared" si="20"/>
        <v>274</v>
      </c>
      <c r="H31" s="1117">
        <f t="shared" si="20"/>
        <v>0</v>
      </c>
      <c r="I31" s="1119">
        <f t="shared" si="20"/>
        <v>0</v>
      </c>
      <c r="J31" s="1119">
        <f t="shared" si="20"/>
        <v>0</v>
      </c>
      <c r="K31" s="1180">
        <f t="shared" si="20"/>
        <v>0</v>
      </c>
      <c r="L31" s="1119">
        <f t="shared" si="20"/>
        <v>135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464</v>
      </c>
      <c r="X31" s="1118">
        <f t="shared" si="21"/>
        <v>94</v>
      </c>
      <c r="Y31" s="1125">
        <f t="shared" si="21"/>
        <v>558</v>
      </c>
      <c r="Z31" s="1125">
        <f t="shared" si="21"/>
        <v>0</v>
      </c>
      <c r="AA31" s="1125">
        <f t="shared" si="21"/>
        <v>383</v>
      </c>
      <c r="AB31" s="1125">
        <f t="shared" si="21"/>
        <v>569</v>
      </c>
      <c r="AC31" s="1125">
        <f t="shared" si="21"/>
        <v>407</v>
      </c>
      <c r="AD31" s="1125">
        <f t="shared" si="21"/>
        <v>0</v>
      </c>
      <c r="AE31" s="1127">
        <f t="shared" si="21"/>
        <v>0</v>
      </c>
      <c r="AF31" s="1128">
        <f t="shared" si="21"/>
        <v>0</v>
      </c>
      <c r="AG31" s="1129">
        <f t="shared" si="21"/>
        <v>0</v>
      </c>
      <c r="AH31" s="1127">
        <f t="shared" si="21"/>
        <v>0</v>
      </c>
      <c r="AI31" s="1117">
        <f t="shared" si="21"/>
        <v>128</v>
      </c>
      <c r="AJ31" s="1117">
        <f t="shared" si="21"/>
        <v>0</v>
      </c>
      <c r="AK31" s="1127">
        <f t="shared" si="21"/>
        <v>0</v>
      </c>
      <c r="AL31" s="1183">
        <f>IF(ISNUMBER(NºAsuntos!G31/NºAsuntos!E31),NºAsuntos!G31/NºAsuntos!E31," - ")</f>
        <v>0.6987234042553192</v>
      </c>
      <c r="AM31" s="1184">
        <f>IF(ISNUMBER(((NºAsuntos!I31/NºAsuntos!G31)*11)/factor_trimestre),((NºAsuntos!I31/NºAsuntos!G31)*11)/factor_trimestre," - ")</f>
        <v>12.192448233861146</v>
      </c>
      <c r="AN31" s="1184">
        <f>IF(ISNUMBER('Resol  Asuntos'!D31/NºAsuntos!G31),'Resol  Asuntos'!D31/NºAsuntos!G31," - ")</f>
        <v>0.15590742996345919</v>
      </c>
      <c r="AO31" s="1185">
        <f>IF(ISNUMBER((NºAsuntos!C31+NºAsuntos!E31)/NºAsuntos!G31),(NºAsuntos!C31+NºAsuntos!E31)/NºAsuntos!G31," - ")</f>
        <v>2.1084043848964678</v>
      </c>
      <c r="AP31" s="1186" t="str">
        <f t="shared" si="2"/>
        <v xml:space="preserve"> - </v>
      </c>
      <c r="AQ31" s="1187">
        <f>IF(OR(ISNUMBER(FIND("01",Criterios!A8,1)),ISNUMBER(FIND("02",Criterios!A8,1)),ISNUMBER(FIND("03",Criterios!A8,1)),ISNUMBER(FIND("04",Criterios!A8,1))),(I31-W31+K31)/(F31-K31),(H31-W31+K31)/(F31-K31))</f>
        <v>-1.8196078431372549</v>
      </c>
      <c r="AR31" s="1188">
        <f>IF(ISNUMBER((Datos!P31-Datos!Q31)/(Datos!R31-Datos!P31+Datos!Q31)),(Datos!P31-Datos!Q31)/(Datos!R31-Datos!P31+Datos!Q31)," - ")</f>
        <v>7.7651515151515152E-2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130.13531419257419</v>
      </c>
      <c r="G33" s="277">
        <f>IF(ISNUMBER(STDEV(G8:G30)),STDEV(G8:G30),"-")</f>
        <v>126.13579228449828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220.70859909456567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33.538890006336565</v>
      </c>
      <c r="AJ33" s="276">
        <f t="shared" si="25"/>
        <v>0</v>
      </c>
      <c r="AK33" s="278">
        <f t="shared" si="25"/>
        <v>0</v>
      </c>
      <c r="AL33" s="273">
        <f t="shared" si="25"/>
        <v>0.20511794778762224</v>
      </c>
      <c r="AM33" s="274">
        <f t="shared" si="25"/>
        <v>13.06855046441653</v>
      </c>
      <c r="AN33" s="274">
        <f t="shared" si="25"/>
        <v>0.34639858466724593</v>
      </c>
      <c r="AO33" s="275">
        <f t="shared" si="25"/>
        <v>1.1880500422196838</v>
      </c>
      <c r="AP33" s="317" t="str">
        <f t="shared" si="25"/>
        <v>-</v>
      </c>
      <c r="AQ33" s="318">
        <f t="shared" si="25"/>
        <v>0.94047996786274002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aoDsQ2t2Y+9CkTY9XniL5hrj/jsNGPS6J63IzKbxswcx3rZzeNXKvBZrCtjg/kkRfPw7ER02ZP71xIfZLUDAw==" saltValue="t3ZHT6/KuoHj469RE2KL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TORO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-0.5714285714285714</v>
      </c>
      <c r="F10" s="393">
        <f>IF(ISNUMBER((Datos!K10-Datos!U10)/Datos!U10),(Datos!K10-Datos!U10)/Datos!U10," - ")</f>
        <v>-0.8571428571428571</v>
      </c>
      <c r="G10" s="394">
        <f>IF(ISNUMBER((Datos!L10-Datos!V10)/Datos!V10),(Datos!L10-Datos!V10)/Datos!V10," - ")</f>
        <v>1</v>
      </c>
      <c r="H10" s="244">
        <f>IF(ISNUMBER((Datos!M10-Datos!W10)/Datos!W10),(Datos!M10-Datos!W10)/Datos!W10," - ")</f>
        <v>-0.75</v>
      </c>
      <c r="I10" s="395">
        <f>IF(ISNUMBER((Tasas!C10-Datos!BE10)/Datos!BE10),(Tasas!C10-Datos!BE10)/Datos!BE10," - ")</f>
        <v>13.000000000000002</v>
      </c>
      <c r="J10" s="394">
        <f>IF(ISNUMBER((Tasas!D10-Datos!BF10)/Datos!BF10),(Tasas!D10-Datos!BF10)/Datos!BF10," - ")</f>
        <v>0.75000000000000011</v>
      </c>
      <c r="K10" s="396">
        <f>IF(ISNUMBER((Tasas!E10-Datos!BG10)/Datos!BG10),(Tasas!E10-Datos!BG10)/Datos!BG10," - ")</f>
        <v>2.8888888888888888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-0.58450704225352113</v>
      </c>
      <c r="I12" s="395">
        <f>IF(ISNUMBER((Tasas!C12-Datos!BE12)/Datos!BE12),(Tasas!C12-Datos!BE12)/Datos!BE12," - ")</f>
        <v>1.6382978723404256</v>
      </c>
      <c r="J12" s="394">
        <f>IF(ISNUMBER((Tasas!D12-Datos!BF12)/Datos!BF12),(Tasas!D12-Datos!BF12)/Datos!BF12," - ")</f>
        <v>-0.61258549931600537</v>
      </c>
      <c r="K12" s="396">
        <f>IF(ISNUMBER((Tasas!E12-Datos!BG12)/Datos!BG12),(Tasas!E12-Datos!BG12)/Datos!BG12," - ")</f>
        <v>0.4411085450346422</v>
      </c>
      <c r="M12" t="e">
        <f>IF(Monitorios="SI",Datos!CE12,0)</f>
        <v>#REF!</v>
      </c>
      <c r="N12" t="e">
        <f>IF(Monitorios="SI",Datos!CF12,0)</f>
        <v>#REF!</v>
      </c>
      <c r="O12" t="e">
        <f>IF(Monitorios="SI",Datos!CG12,0)</f>
        <v>#REF!</v>
      </c>
      <c r="P12" t="e">
        <f>IF(Monitorios="SI",Datos!CH12,0)</f>
        <v>#REF!</v>
      </c>
      <c r="Q12">
        <f>IF(J_V="SI",0,Datos!AG12)</f>
        <v>89</v>
      </c>
      <c r="R12">
        <f>IF(J_V="SI",0,Datos!AH12)</f>
        <v>68</v>
      </c>
      <c r="S12">
        <f>IF(J_V="SI",0,Datos!AI12)</f>
        <v>67</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-0.58904109589041098</v>
      </c>
      <c r="I14" s="402">
        <f>IF(ISNUMBER((Tasas!C14-Datos!BE14)/Datos!BE14),(Tasas!C14-Datos!BE14)/Datos!BE14," - ")</f>
        <v>1.6687878668660008</v>
      </c>
      <c r="J14" s="400">
        <f>IF(ISNUMBER((Tasas!D14-Datos!BF14)/Datos!BF14),(Tasas!D14-Datos!BF14)/Datos!BF14," - ")</f>
        <v>-0.60893854748603349</v>
      </c>
      <c r="K14" s="403">
        <f>IF(ISNUMBER((Tasas!E14-Datos!BG14)/Datos!BG14),(Tasas!E14-Datos!BG14)/Datos!BG14," - ")</f>
        <v>0.45021229050279327</v>
      </c>
      <c r="M14" t="e">
        <f>IF(Monitorios="SI",Datos!CE14,0)</f>
        <v>#REF!</v>
      </c>
      <c r="N14" t="e">
        <f>IF(Monitorios="SI",Datos!CF14,0)</f>
        <v>#REF!</v>
      </c>
      <c r="O14" t="e">
        <f>IF(Monitorios="SI",Datos!CG14,0)</f>
        <v>#REF!</v>
      </c>
      <c r="P14" t="e">
        <f>IF(Monitorios="SI",Datos!CH14,0)</f>
        <v>#REF!</v>
      </c>
      <c r="Q14">
        <f>IF(J_V="SI",0,Datos!AG14)</f>
        <v>89</v>
      </c>
      <c r="R14">
        <f>IF(J_V="SI",0,Datos!AH14)</f>
        <v>68</v>
      </c>
      <c r="S14">
        <f>IF(J_V="SI",0,Datos!AI14)</f>
        <v>67</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-0.35128205128205126</v>
      </c>
      <c r="E17" s="393">
        <f>IF(ISNUMBER(
   IF(D_I="SI",(Datos!J17-Datos!T17)/Datos!T17,(Datos!J17+Datos!AD17-(Datos!T17+Datos!AL17))/(Datos!T17+Datos!AL17))
     ),IF(D_I="SI",(Datos!J17-Datos!T17)/Datos!T17,(Datos!J17+Datos!AD17-(Datos!T17+Datos!AL17))/(Datos!T17+Datos!AL17))," - ")</f>
        <v>3.7523452157598502E-2</v>
      </c>
      <c r="F17" s="393">
        <f>IF(ISNUMBER(
   IF(D_I="SI",(Datos!K17-Datos!U17)/Datos!U17,(Datos!K17+Datos!AE17-(Datos!U17+Datos!AM17))/(Datos!U17+Datos!AM17))
     ),IF(D_I="SI",(Datos!K17-Datos!U17)/Datos!U17,(Datos!K17+Datos!AE17-(Datos!U17+Datos!AM17))/(Datos!U17+Datos!AM17))," - ")</f>
        <v>-0.27272727272727271</v>
      </c>
      <c r="G17" s="394">
        <f>IF(ISNUMBER(
   IF(D_I="SI",(Datos!L17-Datos!V17)/Datos!V17,(Datos!L17+Datos!AF17-(Datos!V17+Datos!AN17))/(Datos!V17+Datos!AN17))
     ),IF(D_I="SI",(Datos!L17-Datos!V17)/Datos!V17,(Datos!L17+Datos!AF17-(Datos!V17+Datos!AN17))/(Datos!V17+Datos!AN17))," - ")</f>
        <v>0.41501976284584979</v>
      </c>
      <c r="H17" s="244">
        <f>IF(ISNUMBER((Datos!M17-Datos!W17)/Datos!W17),(Datos!M17-Datos!W17)/Datos!W17," - ")</f>
        <v>-0.15384615384615385</v>
      </c>
      <c r="I17" s="395">
        <f>IF(ISNUMBER((Tasas!C17-Datos!BE17)/Datos!BE17),(Tasas!C17-Datos!BE17)/Datos!BE17," - ")</f>
        <v>0.94565217391304368</v>
      </c>
      <c r="J17" s="394">
        <f>IF(ISNUMBER((Tasas!D17-Datos!BF17)/Datos!BF17),(Tasas!D17-Datos!BF17)/Datos!BF17," - ")</f>
        <v>0.1634615384615386</v>
      </c>
      <c r="K17" s="396">
        <f>IF(ISNUMBER((Tasas!E17-Datos!BG17)/Datos!BG17),(Tasas!E17-Datos!BG17)/Datos!BG17," - ")</f>
        <v>0.20070422535211266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v>
      </c>
      <c r="E18" s="393">
        <f>IF(ISNUMBER(
   IF(D_I="SI",(Datos!J18-Datos!T18)/Datos!T18,(Datos!J18+Datos!AD18-(Datos!T18+Datos!AL18))/(Datos!T18+Datos!AL18))
     ),IF(D_I="SI",(Datos!J18-Datos!T18)/Datos!T18,(Datos!J18+Datos!AD18-(Datos!T18+Datos!AL18))/(Datos!T18+Datos!AL18))," - ")</f>
        <v>-0.34615384615384615</v>
      </c>
      <c r="F18" s="393">
        <f>IF(ISNUMBER(
   IF(D_I="SI",(Datos!K18-Datos!U18)/Datos!U18,(Datos!K18+Datos!AE18-(Datos!U18+Datos!AM18))/(Datos!U18+Datos!AM18))
     ),IF(D_I="SI",(Datos!K18-Datos!U18)/Datos!U18,(Datos!K18+Datos!AE18-(Datos!U18+Datos!AM18))/(Datos!U18+Datos!AM18))," - ")</f>
        <v>-0.21052631578947367</v>
      </c>
      <c r="G18" s="394">
        <f>IF(ISNUMBER(
   IF(D_I="SI",(Datos!L18-Datos!V18)/Datos!V18,(Datos!L18+Datos!AF18-(Datos!V18+Datos!AN18))/(Datos!V18+Datos!AN18))
     ),IF(D_I="SI",(Datos!L18-Datos!V18)/Datos!V18,(Datos!L18+Datos!AF18-(Datos!V18+Datos!AN18))/(Datos!V18+Datos!AN18))," - ")</f>
        <v>0.10526315789473684</v>
      </c>
      <c r="H18" s="244">
        <f>IF(ISNUMBER((Datos!M18-Datos!W18)/Datos!W18),(Datos!M18-Datos!W18)/Datos!W18," - ")</f>
        <v>1</v>
      </c>
      <c r="I18" s="395">
        <f>IF(ISNUMBER((Tasas!C18-Datos!BE18)/Datos!BE18),(Tasas!C18-Datos!BE18)/Datos!BE18," - ")</f>
        <v>0.39999999999999991</v>
      </c>
      <c r="J18" s="394">
        <f>IF(ISNUMBER((Tasas!D18-Datos!BF18)/Datos!BF18),(Tasas!D18-Datos!BF18)/Datos!BF18," - ")</f>
        <v>1.5333333333333334</v>
      </c>
      <c r="K18" s="396">
        <f>IF(ISNUMBER((Tasas!E18-Datos!BG18)/Datos!BG18),(Tasas!E18-Datos!BG18)/Datos!BG18," - ")</f>
        <v>0.26666666666666666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v>
      </c>
      <c r="E23" s="399">
        <f>IF(ISNUMBER(
   IF(D_I="SI",(Datos!J23-Datos!T23)/Datos!T23,(Datos!J23+Datos!AD23-(Datos!T23+Datos!AL23))/(Datos!T23+Datos!AL23))
     ),IF(D_I="SI",(Datos!J23-Datos!T23)/Datos!T23,(Datos!J23+Datos!AD23-(Datos!T23+Datos!AL23))/(Datos!T23+Datos!AL23))," - ")</f>
        <v>1.9677996422182469E-2</v>
      </c>
      <c r="F23" s="399">
        <f>IF(ISNUMBER(
   IF(D_I="SI",(Datos!K23-Datos!U23)/Datos!U23,(Datos!K23+Datos!AE23-(Datos!U23+Datos!AM23))/(Datos!U23+Datos!AM23))
     ),IF(D_I="SI",(Datos!K23-Datos!U23)/Datos!U23,(Datos!K23+Datos!AE23-(Datos!U23+Datos!AM23))/(Datos!U23+Datos!AM23))," - ")</f>
        <v>-0.27086614173228346</v>
      </c>
      <c r="G23" s="400">
        <f>IF(ISNUMBER(
   IF(D_I="SI",(Datos!L23-Datos!V23)/Datos!V23,(Datos!L23+Datos!AF23-(Datos!V23+Datos!AN23))/(Datos!V23+Datos!AN23))
     ),IF(D_I="SI",(Datos!L23-Datos!V23)/Datos!V23,(Datos!L23+Datos!AF23-(Datos!V23+Datos!AN23))/(Datos!V23+Datos!AN23))," - ")</f>
        <v>0.39338235294117646</v>
      </c>
      <c r="H23" s="401">
        <f>IF(ISNUMBER((Datos!M23-Datos!W23)/Datos!W23),(Datos!M23-Datos!W23)/Datos!W23," - ")</f>
        <v>-0.13924050632911392</v>
      </c>
      <c r="I23" s="402">
        <f>IF(ISNUMBER((Tasas!C23-Datos!BE23)/Datos!BE23),(Tasas!C23-Datos!BE23)/Datos!BE23," - ")</f>
        <v>0.91101035446576051</v>
      </c>
      <c r="J23" s="400">
        <f>IF(ISNUMBER((Tasas!D23-Datos!BF23)/Datos!BF23),(Tasas!D23-Datos!BF23)/Datos!BF23," - ")</f>
        <v>0.18052327965661485</v>
      </c>
      <c r="K23" s="403">
        <f>IF(ISNUMBER((Tasas!E23-Datos!BG23)/Datos!BG23),(Tasas!E23-Datos!BG23)/Datos!BG23," - ")</f>
        <v>0.204165606271832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-0.26938239159001315</v>
      </c>
      <c r="E31" s="409">
        <f>IF(ISNUMBER(
   IF(J_V="SI",(Datos!J31-Datos!T31)/Datos!T31,(Datos!J31+Datos!Z31-(Datos!T31+Datos!AH31))/(Datos!T31+Datos!AH31))
     ),IF(J_V="SI",(Datos!J31-Datos!T31)/Datos!T31,(Datos!J31+Datos!Z31-(Datos!T31+Datos!AH31))/(Datos!T31+Datos!AH31))," - ")</f>
        <v>9.5060577819198508E-2</v>
      </c>
      <c r="F31" s="409">
        <f>IF(ISNUMBER(
   IF(J_V="SI",(Datos!K31-Datos!U31)/Datos!U31,(Datos!K31+Datos!AA31-(Datos!U31+Datos!AI31))/(Datos!U31+Datos!AI31))
     ),IF(J_V="SI",(Datos!K31-Datos!U31)/Datos!U31,(Datos!K31+Datos!AA31-(Datos!U31+Datos!AI31))/(Datos!U31+Datos!AI31))," - ")</f>
        <v>-0.28359511343804539</v>
      </c>
      <c r="G31" s="410">
        <f>IF(ISNUMBER(
   IF(J_V="SI",(Datos!L31-Datos!V31)/Datos!V31,(Datos!L31+Datos!AB31-(Datos!V31+Datos!AJ31))/(Datos!V31+Datos!AJ31))
     ),IF(J_V="SI",(Datos!L31-Datos!V31)/Datos!V31,(Datos!L31+Datos!AB31-(Datos!V31+Datos!AJ31))/(Datos!V31+Datos!AJ31))," - ")</f>
        <v>0.63669064748201443</v>
      </c>
      <c r="H31" s="411">
        <f>IF(ISNUMBER((Datos!M31-Datos!W31)/Datos!W31),(Datos!M31-Datos!W31)/Datos!W31," - ")</f>
        <v>-0.43111111111111111</v>
      </c>
      <c r="I31" s="408">
        <f>IF(ISNUMBER((Tasas!C31-Datos!BE31)/Datos!BE31),(Tasas!C31-Datos!BE31)/Datos!BE31," - ")</f>
        <v>1.2845888940491943</v>
      </c>
      <c r="J31" s="409">
        <f>IF(ISNUMBER((Tasas!D31-Datos!BF31)/Datos!BF31),(Tasas!D31-Datos!BF31)/Datos!BF31," - ")</f>
        <v>-0.40043652772441535</v>
      </c>
      <c r="K31" s="410">
        <f>IF(ISNUMBER((Tasas!E31-Datos!BG31)/Datos!BG31),(Tasas!E31-Datos!BG31)/Datos!BG31," - ")</f>
        <v>0.31746533538241656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0.58387244741081623</v>
      </c>
      <c r="E33" s="303">
        <f t="shared" si="1"/>
        <v>0.29613312181153401</v>
      </c>
      <c r="F33" s="303">
        <f t="shared" si="1"/>
        <v>0.3042597891248528</v>
      </c>
      <c r="G33" s="304">
        <f t="shared" si="1"/>
        <v>0.37529664562150455</v>
      </c>
      <c r="H33" s="310">
        <f t="shared" si="1"/>
        <v>0.63991787191809413</v>
      </c>
      <c r="I33" s="302">
        <f t="shared" si="1"/>
        <v>4.8768352949982994</v>
      </c>
      <c r="J33" s="303">
        <f t="shared" si="1"/>
        <v>0.82336023845063355</v>
      </c>
      <c r="K33" s="304">
        <f t="shared" si="1"/>
        <v>1.0576404260514938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HB0TAk+wb02okoFi5GwOX7QEOVl+H0FyfaEnZUeFAUByFo36YZ3J4vkCLapnif1A/PPSYHvOnDLtrkZtwzD+Q==" saltValue="vxN5QbZx4fioW8thG5vQy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